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0" documentId="8_{DF5E401E-20B6-4EDF-99F1-99D2B74A958E}" xr6:coauthVersionLast="47" xr6:coauthVersionMax="47" xr10:uidLastSave="{00000000-0000-0000-0000-000000000000}"/>
  <bookViews>
    <workbookView xWindow="-120" yWindow="-120" windowWidth="29040" windowHeight="15840" firstSheet="4" activeTab="4" xr2:uid="{B88C7FD0-E993-466A-A8F7-EDEFF2F105CF}"/>
  </bookViews>
  <sheets>
    <sheet name="2022-2023 Budget" sheetId="2" r:id="rId1"/>
    <sheet name="September 2022" sheetId="1" r:id="rId2"/>
    <sheet name="October 2022" sheetId="3" r:id="rId3"/>
    <sheet name="November 2022" sheetId="5" r:id="rId4"/>
    <sheet name="December 2022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4" l="1"/>
  <c r="F87" i="4"/>
  <c r="F83" i="4"/>
  <c r="F82" i="4"/>
  <c r="F70" i="4"/>
  <c r="F68" i="4"/>
  <c r="F64" i="4"/>
  <c r="F58" i="4"/>
  <c r="F50" i="4"/>
  <c r="F42" i="4"/>
  <c r="F40" i="4"/>
  <c r="F36" i="4"/>
  <c r="F35" i="4"/>
  <c r="F10" i="4"/>
  <c r="F29" i="4"/>
  <c r="F26" i="4"/>
  <c r="F25" i="4"/>
  <c r="F21" i="4"/>
  <c r="F13" i="4"/>
  <c r="F12" i="4"/>
  <c r="C90" i="4"/>
  <c r="B90" i="4"/>
  <c r="G89" i="4"/>
  <c r="F86" i="4"/>
  <c r="G86" i="4" s="1"/>
  <c r="F85" i="4"/>
  <c r="F84" i="4"/>
  <c r="F80" i="4"/>
  <c r="C76" i="4"/>
  <c r="E72" i="4"/>
  <c r="D72" i="4"/>
  <c r="C72" i="4"/>
  <c r="B72" i="4"/>
  <c r="F71" i="4"/>
  <c r="G70" i="4"/>
  <c r="G72" i="4" s="1"/>
  <c r="F67" i="4"/>
  <c r="F66" i="4"/>
  <c r="F59" i="4"/>
  <c r="F57" i="4"/>
  <c r="F55" i="4"/>
  <c r="F53" i="4"/>
  <c r="F51" i="4"/>
  <c r="F48" i="4"/>
  <c r="F45" i="4"/>
  <c r="F44" i="4"/>
  <c r="F38" i="4"/>
  <c r="F33" i="4"/>
  <c r="F72" i="4" s="1"/>
  <c r="G31" i="4"/>
  <c r="G74" i="4" s="1"/>
  <c r="E31" i="4"/>
  <c r="E74" i="4" s="1"/>
  <c r="C31" i="4"/>
  <c r="C74" i="4" s="1"/>
  <c r="B31" i="4"/>
  <c r="B74" i="4" s="1"/>
  <c r="B77" i="4" s="1"/>
  <c r="F30" i="4"/>
  <c r="D31" i="4"/>
  <c r="D74" i="4" s="1"/>
  <c r="F28" i="4"/>
  <c r="F24" i="4"/>
  <c r="F23" i="4"/>
  <c r="F22" i="4"/>
  <c r="F18" i="4"/>
  <c r="F17" i="4"/>
  <c r="F15" i="4"/>
  <c r="F31" i="4"/>
  <c r="F74" i="4" s="1"/>
  <c r="F10" i="5"/>
  <c r="F70" i="5"/>
  <c r="F59" i="5"/>
  <c r="F58" i="5"/>
  <c r="F55" i="5"/>
  <c r="F51" i="5"/>
  <c r="F48" i="5"/>
  <c r="F44" i="5"/>
  <c r="F40" i="5"/>
  <c r="F36" i="5"/>
  <c r="F35" i="5"/>
  <c r="F29" i="5"/>
  <c r="F28" i="5"/>
  <c r="F21" i="5"/>
  <c r="F15" i="5"/>
  <c r="F13" i="5"/>
  <c r="D29" i="5"/>
  <c r="D31" i="5" s="1"/>
  <c r="C90" i="5"/>
  <c r="B90" i="5"/>
  <c r="G89" i="5"/>
  <c r="F88" i="5"/>
  <c r="F87" i="5"/>
  <c r="F86" i="5"/>
  <c r="G86" i="5" s="1"/>
  <c r="F85" i="5"/>
  <c r="F84" i="5"/>
  <c r="F83" i="5"/>
  <c r="F82" i="5"/>
  <c r="F80" i="5"/>
  <c r="C76" i="5"/>
  <c r="E72" i="5"/>
  <c r="D72" i="5"/>
  <c r="C72" i="5"/>
  <c r="B72" i="5"/>
  <c r="F71" i="5"/>
  <c r="G70" i="5"/>
  <c r="G72" i="5" s="1"/>
  <c r="F67" i="5"/>
  <c r="F66" i="5"/>
  <c r="F64" i="5"/>
  <c r="F57" i="5"/>
  <c r="F53" i="5"/>
  <c r="F50" i="5"/>
  <c r="F45" i="5"/>
  <c r="F38" i="5"/>
  <c r="F33" i="5"/>
  <c r="F72" i="5" s="1"/>
  <c r="G31" i="5"/>
  <c r="G74" i="5" s="1"/>
  <c r="D74" i="5"/>
  <c r="C31" i="5"/>
  <c r="C74" i="5" s="1"/>
  <c r="B31" i="5"/>
  <c r="B74" i="5" s="1"/>
  <c r="B77" i="5" s="1"/>
  <c r="F30" i="5"/>
  <c r="E31" i="5"/>
  <c r="E74" i="5" s="1"/>
  <c r="F26" i="5"/>
  <c r="F24" i="5"/>
  <c r="F23" i="5"/>
  <c r="F22" i="5"/>
  <c r="F18" i="5"/>
  <c r="F17" i="5"/>
  <c r="F12" i="5"/>
  <c r="F31" i="5"/>
  <c r="F74" i="5" s="1"/>
  <c r="F29" i="3"/>
  <c r="E29" i="3"/>
  <c r="F82" i="3"/>
  <c r="F70" i="3"/>
  <c r="F66" i="3"/>
  <c r="F58" i="3"/>
  <c r="F57" i="3"/>
  <c r="F44" i="3"/>
  <c r="F38" i="3"/>
  <c r="F36" i="3"/>
  <c r="F35" i="3"/>
  <c r="F33" i="3"/>
  <c r="F26" i="3"/>
  <c r="F23" i="3"/>
  <c r="F21" i="3"/>
  <c r="F15" i="3"/>
  <c r="F13" i="3"/>
  <c r="F10" i="3"/>
  <c r="D72" i="3"/>
  <c r="C90" i="3"/>
  <c r="B90" i="3"/>
  <c r="G89" i="3"/>
  <c r="F88" i="3"/>
  <c r="F87" i="3"/>
  <c r="F86" i="3"/>
  <c r="G86" i="3" s="1"/>
  <c r="F85" i="3"/>
  <c r="F84" i="3"/>
  <c r="F83" i="3"/>
  <c r="F80" i="3"/>
  <c r="C76" i="3"/>
  <c r="E72" i="3"/>
  <c r="C72" i="3"/>
  <c r="B72" i="3"/>
  <c r="F71" i="3"/>
  <c r="G70" i="3"/>
  <c r="G72" i="3" s="1"/>
  <c r="F67" i="3"/>
  <c r="F64" i="3"/>
  <c r="F59" i="3"/>
  <c r="F53" i="3"/>
  <c r="F51" i="3"/>
  <c r="F50" i="3"/>
  <c r="F45" i="3"/>
  <c r="F40" i="3"/>
  <c r="F72" i="3"/>
  <c r="G31" i="3"/>
  <c r="G74" i="3" s="1"/>
  <c r="E31" i="3"/>
  <c r="E74" i="3" s="1"/>
  <c r="D31" i="3"/>
  <c r="D74" i="3" s="1"/>
  <c r="C31" i="3"/>
  <c r="C74" i="3" s="1"/>
  <c r="B31" i="3"/>
  <c r="B74" i="3" s="1"/>
  <c r="B77" i="3" s="1"/>
  <c r="F30" i="3"/>
  <c r="F24" i="3"/>
  <c r="F22" i="3"/>
  <c r="F18" i="3"/>
  <c r="F17" i="3"/>
  <c r="F12" i="3"/>
  <c r="F31" i="3" s="1"/>
  <c r="F74" i="3" s="1"/>
  <c r="F67" i="1"/>
  <c r="F71" i="1"/>
  <c r="F64" i="1"/>
  <c r="F30" i="1"/>
  <c r="F45" i="1"/>
  <c r="F59" i="1"/>
  <c r="F58" i="1"/>
  <c r="F53" i="1"/>
  <c r="F51" i="1"/>
  <c r="F50" i="1"/>
  <c r="F44" i="1"/>
  <c r="F40" i="1"/>
  <c r="F36" i="1"/>
  <c r="F35" i="1"/>
  <c r="F29" i="1"/>
  <c r="F24" i="1"/>
  <c r="F23" i="1"/>
  <c r="F21" i="1"/>
  <c r="F18" i="1"/>
  <c r="F13" i="1"/>
  <c r="F12" i="1"/>
  <c r="D72" i="1"/>
  <c r="D31" i="1"/>
  <c r="D74" i="1" s="1"/>
  <c r="F66" i="1"/>
  <c r="F22" i="1"/>
  <c r="F17" i="1"/>
  <c r="G89" i="1"/>
  <c r="G86" i="1"/>
  <c r="G80" i="1"/>
  <c r="G90" i="1" s="1"/>
  <c r="G70" i="1"/>
  <c r="G72" i="1" s="1"/>
  <c r="G31" i="1"/>
  <c r="G74" i="1" s="1"/>
  <c r="F88" i="1"/>
  <c r="F87" i="1"/>
  <c r="F86" i="1"/>
  <c r="F85" i="1"/>
  <c r="F84" i="1"/>
  <c r="F83" i="1"/>
  <c r="F82" i="1"/>
  <c r="F80" i="1"/>
  <c r="C91" i="4" l="1"/>
  <c r="F76" i="4"/>
  <c r="C77" i="4"/>
  <c r="F90" i="4"/>
  <c r="G80" i="4"/>
  <c r="G90" i="4" s="1"/>
  <c r="B91" i="4"/>
  <c r="B92" i="4" s="1"/>
  <c r="C92" i="4"/>
  <c r="C91" i="5"/>
  <c r="F76" i="5"/>
  <c r="C77" i="5"/>
  <c r="F90" i="5"/>
  <c r="G80" i="5"/>
  <c r="G90" i="5" s="1"/>
  <c r="B91" i="5"/>
  <c r="B92" i="5" s="1"/>
  <c r="C92" i="5"/>
  <c r="C91" i="3"/>
  <c r="F76" i="3"/>
  <c r="C77" i="3"/>
  <c r="F90" i="3"/>
  <c r="G80" i="3"/>
  <c r="G90" i="3" s="1"/>
  <c r="B91" i="3"/>
  <c r="B92" i="3" s="1"/>
  <c r="C92" i="3"/>
  <c r="B90" i="1"/>
  <c r="B91" i="1" s="1"/>
  <c r="B31" i="1"/>
  <c r="C76" i="1"/>
  <c r="F72" i="1"/>
  <c r="E72" i="1"/>
  <c r="C72" i="1"/>
  <c r="B72" i="1"/>
  <c r="E31" i="1"/>
  <c r="E74" i="1" s="1"/>
  <c r="C31" i="1"/>
  <c r="F31" i="1"/>
  <c r="F91" i="4" l="1"/>
  <c r="F92" i="4" s="1"/>
  <c r="F77" i="4"/>
  <c r="G76" i="4"/>
  <c r="G77" i="4" s="1"/>
  <c r="G91" i="4" s="1"/>
  <c r="G92" i="4" s="1"/>
  <c r="F91" i="5"/>
  <c r="F92" i="5" s="1"/>
  <c r="F77" i="5"/>
  <c r="G76" i="5"/>
  <c r="G77" i="5" s="1"/>
  <c r="G91" i="5" s="1"/>
  <c r="G92" i="5" s="1"/>
  <c r="F91" i="3"/>
  <c r="F92" i="3" s="1"/>
  <c r="F77" i="3"/>
  <c r="G76" i="3"/>
  <c r="G77" i="3" s="1"/>
  <c r="G91" i="3" s="1"/>
  <c r="G92" i="3" s="1"/>
  <c r="C90" i="1"/>
  <c r="C74" i="1"/>
  <c r="C77" i="1" s="1"/>
  <c r="B92" i="1"/>
  <c r="B74" i="1"/>
  <c r="B77" i="1" s="1"/>
  <c r="F76" i="1" s="1"/>
  <c r="G76" i="1" s="1"/>
  <c r="G77" i="1" s="1"/>
  <c r="G91" i="1" s="1"/>
  <c r="G92" i="1" s="1"/>
  <c r="F74" i="1"/>
  <c r="F90" i="1"/>
  <c r="C91" i="1" l="1"/>
  <c r="C92" i="1" s="1"/>
  <c r="F77" i="1"/>
  <c r="F91" i="1"/>
  <c r="F92" i="1" s="1"/>
</calcChain>
</file>

<file path=xl/sharedStrings.xml><?xml version="1.0" encoding="utf-8"?>
<sst xmlns="http://schemas.openxmlformats.org/spreadsheetml/2006/main" count="416" uniqueCount="94">
  <si>
    <t>Valle Verde Elementary School PTA 2022/2023 Budget &amp; YTD Results</t>
  </si>
  <si>
    <t>2021/2022</t>
  </si>
  <si>
    <t>2022/2023</t>
  </si>
  <si>
    <t>YTD Actual</t>
  </si>
  <si>
    <t>Budget</t>
  </si>
  <si>
    <t>Previous</t>
  </si>
  <si>
    <t>Current</t>
  </si>
  <si>
    <t>As of 6/30/22</t>
  </si>
  <si>
    <t>August</t>
  </si>
  <si>
    <t>September</t>
  </si>
  <si>
    <t>As of 9/30/22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</si>
  <si>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</si>
  <si>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</si>
  <si>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</si>
  <si>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</si>
  <si>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</si>
  <si>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</si>
  <si>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</si>
  <si>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</si>
  <si>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FunRaising</t>
  </si>
  <si>
    <t>Fun Run</t>
  </si>
  <si>
    <t>Read-A-Thon</t>
  </si>
  <si>
    <t>Shop &amp; Give</t>
  </si>
  <si>
    <t>Sponsorship</t>
  </si>
  <si>
    <t>Fund-A-Need: Most Wanted</t>
  </si>
  <si>
    <t>Gift Cards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</si>
  <si>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</si>
  <si>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</si>
  <si>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</si>
  <si>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</si>
  <si>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</si>
  <si>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</si>
  <si>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</si>
  <si>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</si>
  <si>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</si>
  <si>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</si>
  <si>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</si>
  <si>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</si>
  <si>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Art Show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</si>
  <si>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</si>
  <si>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</si>
  <si>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</si>
  <si>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</si>
  <si>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</si>
  <si>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Distance Learning School Supply</t>
  </si>
  <si>
    <t>Emergency Backpacks</t>
  </si>
  <si>
    <t>Family Events/STEAM</t>
  </si>
  <si>
    <t>Trunk or Treat</t>
  </si>
  <si>
    <t>Hospitality</t>
  </si>
  <si>
    <t>Instructional Assistant</t>
  </si>
  <si>
    <t>Insurance</t>
  </si>
  <si>
    <t>Campus Beautificaton/Landscaping</t>
  </si>
  <si>
    <t>Library</t>
  </si>
  <si>
    <t>Life Lab</t>
  </si>
  <si>
    <t>Misc. Expense</t>
  </si>
  <si>
    <t>Principal's Fund</t>
  </si>
  <si>
    <t>PTA Functional</t>
  </si>
  <si>
    <t>Reading Specialist</t>
  </si>
  <si>
    <t>Scholarship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</si>
  <si>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</si>
  <si>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</si>
  <si>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</si>
  <si>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</si>
  <si>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</si>
  <si>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</si>
  <si>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Chromebooks</t>
  </si>
  <si>
    <t>Graduating Class</t>
  </si>
  <si>
    <t>Most Wanted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</si>
  <si>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</si>
  <si>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</si>
  <si>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</si>
  <si>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</si>
  <si>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</si>
  <si>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</si>
  <si>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</si>
  <si>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2021</t>
  </si>
  <si>
    <t>Graduating Class 2022</t>
  </si>
  <si>
    <t>Graduating Class 2023</t>
  </si>
  <si>
    <t>Graduating Class 2024</t>
  </si>
  <si>
    <t>Art Docent Program</t>
  </si>
  <si>
    <t>Sandy Himel Grant</t>
  </si>
  <si>
    <t>School Play Reserve</t>
  </si>
  <si>
    <t>Fund-A-Need: STEAM</t>
  </si>
  <si>
    <t>Education Fund</t>
  </si>
  <si>
    <t>Check</t>
  </si>
  <si>
    <t>Restricted Cash</t>
  </si>
  <si>
    <t>Unrestricted Cash</t>
  </si>
  <si>
    <t>Total Cash</t>
  </si>
  <si>
    <t>October</t>
  </si>
  <si>
    <t>As of 10/31/22</t>
  </si>
  <si>
    <t>November</t>
  </si>
  <si>
    <t>As of 11/30/22</t>
  </si>
  <si>
    <t>December</t>
  </si>
  <si>
    <t>As of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</si>
</sst>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/>
    <xf numFmtId="38" fontId="0" fillId="0" borderId="11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2" fillId="0" borderId="14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15" xfId="0" applyNumberFormat="1" applyBorder="1"/>
    <xf numFmtId="38" fontId="6" fillId="0" borderId="16" xfId="0" applyNumberFormat="1" applyFont="1" applyBorder="1" applyAlignment="1">
      <alignment horizontal="right"/>
    </xf>
    <xf numFmtId="38" fontId="2" fillId="0" borderId="18" xfId="0" applyNumberFormat="1" applyFont="1" applyBorder="1"/>
    <xf numFmtId="38" fontId="2" fillId="0" borderId="19" xfId="0" applyNumberFormat="1" applyFont="1" applyBorder="1"/>
    <xf numFmtId="38" fontId="2" fillId="0" borderId="20" xfId="0" applyNumberFormat="1" applyFont="1" applyBorder="1"/>
    <xf numFmtId="38" fontId="9" fillId="0" borderId="19" xfId="0" applyNumberFormat="1" applyFont="1" applyBorder="1"/>
    <xf numFmtId="0" fontId="2" fillId="0" borderId="0" xfId="0" applyFont="1" applyAlignment="1">
      <alignment horizontal="left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43" fontId="0" fillId="0" borderId="0" xfId="1" applyFont="1" applyFill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6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6" fillId="0" borderId="0" xfId="0" applyNumberFormat="1" applyFont="1" applyFill="1" applyAlignment="1">
      <alignment horizontal="right"/>
    </xf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 horizontal="right"/>
    </xf>
    <xf numFmtId="38" fontId="6" fillId="0" borderId="17" xfId="0" applyNumberFormat="1" applyFont="1" applyFill="1" applyBorder="1" applyAlignment="1">
      <alignment horizontal="right"/>
    </xf>
    <xf numFmtId="38" fontId="0" fillId="0" borderId="17" xfId="0" applyNumberFormat="1" applyFill="1" applyBorder="1"/>
    <xf numFmtId="38" fontId="6" fillId="0" borderId="16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74E-8FB2-4921-A1EF-6725D0F0BF92}">
  <dimension ref="A1:J92"/>
  <sheetViews>
    <sheetView topLeftCell="A4" workbookViewId="0">
      <selection activeCell="E4" sqref="E4"/>
    </sheetView>
  </sheetViews>
  <sheetFormatPr defaultColWidth="8.7109375" defaultRowHeight="15"/>
  <cols>
    <col min="1" max="1" width="36.42578125" customWidth="1"/>
    <col min="2" max="2" width="14.28515625" customWidth="1"/>
    <col min="3" max="3" width="11.28515625" customWidth="1"/>
    <col min="4" max="5" width="11.7109375" bestFit="1" customWidth="1"/>
    <col min="6" max="6" width="15.42578125" bestFit="1" customWidth="1"/>
    <col min="7" max="7" width="12.85546875" customWidth="1"/>
    <col min="9" max="9" width="11.5703125" bestFit="1" customWidth="1"/>
    <col min="10" max="10" width="9" bestFit="1" customWidth="1"/>
  </cols>
  <sheetData>
    <row r="1" spans="1:7" ht="15" customHeight="1">
      <c r="A1" s="1" t="s">
        <v>0</v>
      </c>
    </row>
    <row r="2" spans="1:7" ht="15" customHeight="1" thickBot="1">
      <c r="A2" s="1"/>
    </row>
    <row r="3" spans="1:7" ht="15" customHeight="1" thickBot="1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" customHeight="1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" customHeight="1" thickBot="1">
      <c r="B5" s="7" t="s">
        <v>7</v>
      </c>
      <c r="C5" s="8" t="s">
        <v>1</v>
      </c>
      <c r="D5" s="9" t="s">
        <v>8</v>
      </c>
      <c r="E5" s="9" t="s">
        <v>9</v>
      </c>
      <c r="F5" s="9" t="s">
        <v>10</v>
      </c>
      <c r="G5" s="10" t="s">
        <v>2</v>
      </c>
    </row>
    <row r="6" spans="1:7" ht="15" customHeight="1">
      <c r="A6" s="11" t="s">
        <v>11</v>
      </c>
      <c r="B6" s="12"/>
      <c r="C6" s="13"/>
      <c r="D6" s="14"/>
      <c r="E6" s="14"/>
      <c r="F6" s="14"/>
      <c r="G6" s="15"/>
    </row>
    <row r="7" spans="1:7" ht="15" customHeight="1">
      <c r="A7" s="16" t="s">
        <v>12</v>
      </c>
      <c r="B7" s="17">
        <v>3000</v>
      </c>
      <c r="C7" s="18">
        <v>0</v>
      </c>
      <c r="D7" s="56"/>
      <c r="E7" s="56"/>
      <c r="F7" s="57"/>
      <c r="G7" s="58">
        <v>3000</v>
      </c>
    </row>
    <row r="8" spans="1:7" ht="15" customHeight="1">
      <c r="A8" s="16" t="s">
        <v>13</v>
      </c>
      <c r="B8" s="17">
        <v>3242.36</v>
      </c>
      <c r="C8" s="18">
        <v>2500</v>
      </c>
      <c r="D8" s="19"/>
      <c r="E8" s="19"/>
      <c r="F8" s="20"/>
      <c r="G8" s="18">
        <v>4000</v>
      </c>
    </row>
    <row r="9" spans="1:7" ht="15" customHeight="1">
      <c r="A9" s="16" t="s">
        <v>14</v>
      </c>
      <c r="B9" s="17">
        <v>89.6</v>
      </c>
      <c r="C9" s="18">
        <v>100</v>
      </c>
      <c r="D9" s="19"/>
      <c r="E9" s="19"/>
      <c r="F9" s="20"/>
      <c r="G9" s="18">
        <v>0</v>
      </c>
    </row>
    <row r="10" spans="1:7" ht="15" customHeight="1">
      <c r="A10" s="16" t="s">
        <v>15</v>
      </c>
      <c r="B10" s="17">
        <v>0</v>
      </c>
      <c r="C10" s="18">
        <v>0</v>
      </c>
      <c r="D10" s="19"/>
      <c r="E10" s="19"/>
      <c r="F10" s="20"/>
      <c r="G10" s="18">
        <v>16000</v>
      </c>
    </row>
    <row r="11" spans="1:7" ht="15" customHeight="1">
      <c r="A11" s="16" t="s">
        <v>16</v>
      </c>
      <c r="B11" s="17">
        <v>777.0200000000001</v>
      </c>
      <c r="C11" s="18">
        <v>1000</v>
      </c>
      <c r="D11" s="19"/>
      <c r="E11" s="19"/>
      <c r="F11" s="20"/>
      <c r="G11" s="18">
        <v>1000</v>
      </c>
    </row>
    <row r="12" spans="1:7" ht="15" customHeight="1">
      <c r="A12" s="16" t="s">
        <v>17</v>
      </c>
      <c r="B12" s="17">
        <v>2655.62</v>
      </c>
      <c r="C12" s="18">
        <v>2500</v>
      </c>
      <c r="D12" s="19"/>
      <c r="E12" s="19">
        <v>476.12</v>
      </c>
      <c r="F12" s="20">
        <f>476</f>
        <v>476</v>
      </c>
      <c r="G12" s="18">
        <v>2800</v>
      </c>
    </row>
    <row r="13" spans="1:7" ht="15" customHeight="1">
      <c r="A13" s="16" t="s">
        <v>18</v>
      </c>
      <c r="B13" s="17">
        <v>0</v>
      </c>
      <c r="C13" s="18">
        <v>0</v>
      </c>
      <c r="D13" s="19">
        <v>455</v>
      </c>
      <c r="E13" s="19">
        <v>1845</v>
      </c>
      <c r="F13" s="20">
        <f>455+1845</f>
        <v>2300</v>
      </c>
      <c r="G13" s="18">
        <v>1000</v>
      </c>
    </row>
    <row r="14" spans="1:7" ht="15" customHeight="1">
      <c r="A14" s="16" t="s">
        <v>19</v>
      </c>
      <c r="B14" s="17">
        <v>0</v>
      </c>
      <c r="C14" s="18">
        <v>5000</v>
      </c>
      <c r="D14" s="19"/>
      <c r="E14" s="19"/>
      <c r="F14" s="20"/>
      <c r="G14" s="18">
        <v>0</v>
      </c>
    </row>
    <row r="15" spans="1:7" ht="15" customHeight="1">
      <c r="A15" s="16" t="s">
        <v>20</v>
      </c>
      <c r="B15" s="17">
        <v>59497.68</v>
      </c>
      <c r="C15" s="18">
        <v>20000</v>
      </c>
      <c r="D15" s="56"/>
      <c r="E15" s="56"/>
      <c r="F15" s="57"/>
      <c r="G15" s="58">
        <v>45000</v>
      </c>
    </row>
    <row r="16" spans="1:7" ht="15" customHeight="1">
      <c r="A16" s="16" t="s">
        <v>21</v>
      </c>
      <c r="B16" s="17">
        <v>0</v>
      </c>
      <c r="C16" s="18">
        <v>8000</v>
      </c>
      <c r="D16" s="19"/>
      <c r="E16" s="19"/>
      <c r="F16" s="20"/>
      <c r="G16" s="18">
        <v>0</v>
      </c>
    </row>
    <row r="17" spans="1:7" ht="15" customHeight="1">
      <c r="A17" s="16" t="s">
        <v>22</v>
      </c>
      <c r="B17" s="17">
        <v>500.66999999999996</v>
      </c>
      <c r="C17" s="18">
        <v>0</v>
      </c>
      <c r="D17" s="19"/>
      <c r="E17" s="19"/>
      <c r="F17" s="20">
        <f>235.34</f>
        <v>235.34</v>
      </c>
      <c r="G17" s="18">
        <v>500</v>
      </c>
    </row>
    <row r="18" spans="1:7" ht="15" customHeight="1">
      <c r="A18" s="16" t="s">
        <v>23</v>
      </c>
      <c r="B18" s="17">
        <v>9813.2000000000007</v>
      </c>
      <c r="C18" s="21">
        <v>5000</v>
      </c>
      <c r="D18" s="22"/>
      <c r="E18" s="22">
        <v>4500</v>
      </c>
      <c r="F18" s="20">
        <f>4500</f>
        <v>4500</v>
      </c>
      <c r="G18" s="18">
        <v>7500</v>
      </c>
    </row>
    <row r="19" spans="1:7" ht="15" customHeight="1">
      <c r="A19" s="16" t="s">
        <v>24</v>
      </c>
      <c r="B19" s="17">
        <v>16350</v>
      </c>
      <c r="C19" s="18">
        <v>0</v>
      </c>
      <c r="D19" s="19"/>
      <c r="E19" s="19"/>
      <c r="F19" s="20"/>
      <c r="G19" s="18">
        <v>0</v>
      </c>
    </row>
    <row r="20" spans="1:7" ht="15" customHeight="1">
      <c r="A20" s="16" t="s">
        <v>25</v>
      </c>
      <c r="B20" s="17">
        <v>0</v>
      </c>
      <c r="C20" s="18">
        <v>600</v>
      </c>
      <c r="D20" s="19"/>
      <c r="E20" s="19"/>
      <c r="F20" s="20"/>
      <c r="G20" s="18">
        <v>0</v>
      </c>
    </row>
    <row r="21" spans="1:7" ht="15" customHeight="1">
      <c r="A21" s="16" t="s">
        <v>26</v>
      </c>
      <c r="B21" s="17">
        <v>46.559999999999995</v>
      </c>
      <c r="C21" s="18">
        <v>50</v>
      </c>
      <c r="D21" s="19">
        <v>3.74</v>
      </c>
      <c r="E21" s="19">
        <v>3.62</v>
      </c>
      <c r="F21" s="20">
        <f>3.74+3.74+3.62</f>
        <v>11.100000000000001</v>
      </c>
      <c r="G21" s="18">
        <v>50</v>
      </c>
    </row>
    <row r="22" spans="1:7" ht="15" customHeight="1">
      <c r="A22" s="23" t="s">
        <v>27</v>
      </c>
      <c r="B22" s="17">
        <v>324.36</v>
      </c>
      <c r="C22" s="21">
        <v>0</v>
      </c>
      <c r="D22" s="59">
        <v>120</v>
      </c>
      <c r="E22" s="59"/>
      <c r="F22" s="57">
        <f>120</f>
        <v>120</v>
      </c>
      <c r="G22" s="58">
        <v>0</v>
      </c>
    </row>
    <row r="23" spans="1:7" ht="15" customHeight="1">
      <c r="A23" s="16" t="s">
        <v>28</v>
      </c>
      <c r="B23" s="17">
        <v>750.75</v>
      </c>
      <c r="C23" s="18">
        <v>1000</v>
      </c>
      <c r="D23" s="56">
        <v>943.5</v>
      </c>
      <c r="E23" s="56">
        <v>280.5</v>
      </c>
      <c r="F23" s="57">
        <f>76.5+944+281</f>
        <v>1301.5</v>
      </c>
      <c r="G23" s="58">
        <v>1000</v>
      </c>
    </row>
    <row r="24" spans="1:7" ht="15" customHeight="1">
      <c r="A24" s="16" t="s">
        <v>29</v>
      </c>
      <c r="B24" s="17">
        <v>0</v>
      </c>
      <c r="C24" s="18">
        <v>3000</v>
      </c>
      <c r="D24" s="56"/>
      <c r="E24" s="56">
        <v>1400</v>
      </c>
      <c r="F24" s="57">
        <f>1400</f>
        <v>1400</v>
      </c>
      <c r="G24" s="58">
        <v>0</v>
      </c>
    </row>
    <row r="25" spans="1:7" ht="15" customHeight="1">
      <c r="A25" s="23" t="s">
        <v>30</v>
      </c>
      <c r="B25" s="17">
        <v>67186.400000000009</v>
      </c>
      <c r="C25" s="21">
        <v>20000</v>
      </c>
      <c r="D25" s="22"/>
      <c r="E25" s="22"/>
      <c r="F25" s="20"/>
      <c r="G25" s="18">
        <v>60000</v>
      </c>
    </row>
    <row r="26" spans="1:7" ht="15" customHeight="1">
      <c r="A26" s="16" t="s">
        <v>31</v>
      </c>
      <c r="B26" s="17">
        <v>1764.89</v>
      </c>
      <c r="C26" s="18">
        <v>2000</v>
      </c>
      <c r="D26" s="56"/>
      <c r="E26" s="56">
        <v>-161.37</v>
      </c>
      <c r="F26" s="57">
        <v>-161</v>
      </c>
      <c r="G26" s="58">
        <v>2000</v>
      </c>
    </row>
    <row r="27" spans="1:7" ht="15" customHeight="1">
      <c r="A27" s="16" t="s">
        <v>32</v>
      </c>
      <c r="B27" s="17">
        <v>0</v>
      </c>
      <c r="C27" s="18">
        <v>0</v>
      </c>
      <c r="D27" s="19"/>
      <c r="E27" s="19"/>
      <c r="F27" s="20"/>
      <c r="G27" s="18">
        <v>25000</v>
      </c>
    </row>
    <row r="28" spans="1:7" ht="15" customHeight="1">
      <c r="A28" s="16" t="s">
        <v>33</v>
      </c>
      <c r="B28" s="17">
        <v>7787</v>
      </c>
      <c r="C28" s="18">
        <v>0</v>
      </c>
      <c r="D28" s="19"/>
      <c r="E28" s="19"/>
      <c r="F28" s="20"/>
      <c r="G28" s="18">
        <v>5000</v>
      </c>
    </row>
    <row r="29" spans="1:7" ht="15" customHeight="1">
      <c r="A29" s="23" t="s">
        <v>34</v>
      </c>
      <c r="B29" s="17">
        <v>81918.679999999993</v>
      </c>
      <c r="C29" s="21">
        <v>85000</v>
      </c>
      <c r="D29" s="22">
        <v>32335</v>
      </c>
      <c r="E29" s="22">
        <v>13935</v>
      </c>
      <c r="F29" s="20">
        <f>7204.4+32335+13935</f>
        <v>53474.400000000001</v>
      </c>
      <c r="G29" s="18">
        <v>85000</v>
      </c>
    </row>
    <row r="30" spans="1:7" ht="15" customHeight="1">
      <c r="A30" s="16" t="s">
        <v>35</v>
      </c>
      <c r="B30" s="17">
        <v>180</v>
      </c>
      <c r="C30" s="18">
        <v>1000</v>
      </c>
      <c r="D30" s="56"/>
      <c r="E30" s="56">
        <v>2593.36</v>
      </c>
      <c r="F30" s="57">
        <f>2593.36</f>
        <v>2593.36</v>
      </c>
      <c r="G30" s="58">
        <v>2000</v>
      </c>
    </row>
    <row r="31" spans="1:7" s="11" customFormat="1" ht="15" customHeight="1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33857.24</v>
      </c>
      <c r="E31" s="27">
        <f>SUM(E6:E30)</f>
        <v>24872.23</v>
      </c>
      <c r="F31" s="27">
        <f>SUM(F6:F30)</f>
        <v>66250.7</v>
      </c>
      <c r="G31" s="26">
        <f>SUM(G7:G30)</f>
        <v>260850</v>
      </c>
    </row>
    <row r="32" spans="1:7" ht="15" customHeight="1" thickTop="1">
      <c r="A32" s="24" t="s">
        <v>37</v>
      </c>
      <c r="B32" s="17"/>
      <c r="C32" s="28"/>
      <c r="D32" s="20"/>
      <c r="E32" s="20"/>
      <c r="F32" s="20"/>
      <c r="G32" s="29"/>
    </row>
    <row r="33" spans="1:7" ht="15" customHeight="1">
      <c r="A33" s="16" t="s">
        <v>38</v>
      </c>
      <c r="B33" s="17">
        <v>0</v>
      </c>
      <c r="C33" s="18">
        <v>-200</v>
      </c>
      <c r="D33" s="19"/>
      <c r="E33" s="19"/>
      <c r="F33" s="20"/>
      <c r="G33" s="18">
        <v>0</v>
      </c>
    </row>
    <row r="34" spans="1:7" ht="15" customHeight="1">
      <c r="A34" s="16" t="s">
        <v>39</v>
      </c>
      <c r="B34" s="17">
        <v>0</v>
      </c>
      <c r="C34" s="18">
        <v>0</v>
      </c>
      <c r="D34" s="19"/>
      <c r="E34" s="19"/>
      <c r="F34" s="20"/>
      <c r="G34" s="18">
        <v>0</v>
      </c>
    </row>
    <row r="35" spans="1:7" ht="15" customHeight="1">
      <c r="A35" s="16" t="s">
        <v>40</v>
      </c>
      <c r="B35" s="17">
        <v>-2565.6499999999996</v>
      </c>
      <c r="C35" s="18">
        <v>-8805</v>
      </c>
      <c r="D35" s="19"/>
      <c r="E35" s="19">
        <v>-855.38</v>
      </c>
      <c r="F35" s="20">
        <f>-855</f>
        <v>-855</v>
      </c>
      <c r="G35" s="18">
        <v>-8000</v>
      </c>
    </row>
    <row r="36" spans="1:7" ht="15" customHeight="1">
      <c r="A36" s="16" t="s">
        <v>41</v>
      </c>
      <c r="B36" s="17">
        <v>-8838.7699999999986</v>
      </c>
      <c r="C36" s="18">
        <v>-3500</v>
      </c>
      <c r="D36" s="19">
        <v>-1020.97</v>
      </c>
      <c r="E36" s="19">
        <v>-323.69</v>
      </c>
      <c r="F36" s="20">
        <f>-63.63+-1020.97+-323.69</f>
        <v>-1408.2900000000002</v>
      </c>
      <c r="G36" s="18">
        <v>-8000</v>
      </c>
    </row>
    <row r="37" spans="1:7" ht="15" customHeight="1">
      <c r="A37" s="16" t="s">
        <v>42</v>
      </c>
      <c r="B37" s="17">
        <v>0</v>
      </c>
      <c r="C37" s="18">
        <v>-6520</v>
      </c>
      <c r="D37" s="19"/>
      <c r="E37" s="19"/>
      <c r="F37" s="20"/>
      <c r="G37" s="18">
        <v>-6520</v>
      </c>
    </row>
    <row r="38" spans="1:7" ht="15" customHeight="1">
      <c r="A38" s="16" t="s">
        <v>43</v>
      </c>
      <c r="B38" s="17">
        <v>-200</v>
      </c>
      <c r="C38" s="18">
        <v>-200</v>
      </c>
      <c r="D38" s="19"/>
      <c r="E38" s="19"/>
      <c r="F38" s="20"/>
      <c r="G38" s="18">
        <v>-300</v>
      </c>
    </row>
    <row r="39" spans="1:7" ht="15" customHeight="1">
      <c r="A39" s="16" t="s">
        <v>44</v>
      </c>
      <c r="B39" s="17">
        <v>0</v>
      </c>
      <c r="C39" s="18">
        <v>147.22999999999999</v>
      </c>
      <c r="D39" s="19"/>
      <c r="E39" s="19"/>
      <c r="F39" s="20"/>
      <c r="G39" s="18">
        <v>0</v>
      </c>
    </row>
    <row r="40" spans="1:7" ht="15" customHeight="1">
      <c r="A40" s="16" t="s">
        <v>18</v>
      </c>
      <c r="B40" s="17">
        <v>-606.65</v>
      </c>
      <c r="C40" s="18">
        <v>-1275</v>
      </c>
      <c r="D40" s="56"/>
      <c r="E40" s="56">
        <v>-1013.5</v>
      </c>
      <c r="F40" s="57">
        <f>-1013.5</f>
        <v>-1013.5</v>
      </c>
      <c r="G40" s="58">
        <v>-1000</v>
      </c>
    </row>
    <row r="41" spans="1:7" ht="15" customHeight="1">
      <c r="A41" s="16" t="s">
        <v>45</v>
      </c>
      <c r="B41" s="17">
        <v>-77.150000000000006</v>
      </c>
      <c r="C41" s="18">
        <v>-100</v>
      </c>
      <c r="D41" s="19"/>
      <c r="E41" s="19"/>
      <c r="F41" s="20"/>
      <c r="G41" s="18">
        <v>-100</v>
      </c>
    </row>
    <row r="42" spans="1:7" ht="15" customHeight="1">
      <c r="A42" s="16" t="s">
        <v>46</v>
      </c>
      <c r="B42" s="17">
        <v>-161.52000000000001</v>
      </c>
      <c r="C42" s="18">
        <v>-400</v>
      </c>
      <c r="D42" s="19"/>
      <c r="E42" s="19"/>
      <c r="F42" s="20"/>
      <c r="G42" s="18">
        <v>-500</v>
      </c>
    </row>
    <row r="43" spans="1:7" ht="15" customHeight="1">
      <c r="A43" s="16" t="s">
        <v>13</v>
      </c>
      <c r="B43" s="17">
        <v>-573.16</v>
      </c>
      <c r="C43" s="18">
        <v>0</v>
      </c>
      <c r="D43" s="19"/>
      <c r="E43" s="19"/>
      <c r="F43" s="20"/>
      <c r="G43" s="18">
        <v>-500</v>
      </c>
    </row>
    <row r="44" spans="1:7" ht="15" customHeight="1">
      <c r="A44" s="16" t="s">
        <v>15</v>
      </c>
      <c r="B44" s="17">
        <v>0</v>
      </c>
      <c r="C44" s="18">
        <v>0</v>
      </c>
      <c r="D44" s="19"/>
      <c r="E44" s="19">
        <v>-1129.25</v>
      </c>
      <c r="F44" s="20">
        <f>-1129</f>
        <v>-1129</v>
      </c>
      <c r="G44" s="18">
        <v>-16000</v>
      </c>
    </row>
    <row r="45" spans="1:7" ht="15" customHeight="1">
      <c r="A45" s="16" t="s">
        <v>20</v>
      </c>
      <c r="B45" s="17">
        <v>-1468.15</v>
      </c>
      <c r="C45" s="18">
        <v>-1700</v>
      </c>
      <c r="D45" s="19"/>
      <c r="E45" s="19">
        <v>-88.87</v>
      </c>
      <c r="F45" s="20">
        <f>-88.87</f>
        <v>-88.87</v>
      </c>
      <c r="G45" s="18">
        <v>-1500</v>
      </c>
    </row>
    <row r="46" spans="1:7" ht="15" customHeight="1">
      <c r="A46" s="16" t="s">
        <v>21</v>
      </c>
      <c r="B46" s="17">
        <v>0</v>
      </c>
      <c r="C46" s="18">
        <v>-200</v>
      </c>
      <c r="D46" s="19"/>
      <c r="E46" s="19"/>
      <c r="F46" s="20"/>
      <c r="G46" s="18">
        <v>0</v>
      </c>
    </row>
    <row r="47" spans="1:7" ht="15" customHeight="1">
      <c r="A47" s="16" t="s">
        <v>29</v>
      </c>
      <c r="B47" s="17">
        <v>0</v>
      </c>
      <c r="C47" s="18">
        <v>-1000</v>
      </c>
      <c r="D47" s="19"/>
      <c r="E47" s="19"/>
      <c r="F47" s="20"/>
      <c r="G47" s="18">
        <v>0</v>
      </c>
    </row>
    <row r="48" spans="1:7" ht="15" customHeight="1">
      <c r="A48" s="16" t="s">
        <v>30</v>
      </c>
      <c r="B48" s="17">
        <v>-16786.77</v>
      </c>
      <c r="C48" s="18">
        <v>-10000</v>
      </c>
      <c r="D48" s="19"/>
      <c r="E48" s="19"/>
      <c r="F48" s="20"/>
      <c r="G48" s="18">
        <v>-20000</v>
      </c>
    </row>
    <row r="49" spans="1:7" ht="15" customHeight="1">
      <c r="A49" s="16" t="s">
        <v>47</v>
      </c>
      <c r="B49" s="17">
        <v>-257.5</v>
      </c>
      <c r="C49" s="18">
        <v>0</v>
      </c>
      <c r="D49" s="19"/>
      <c r="E49" s="19"/>
      <c r="F49" s="20"/>
      <c r="G49" s="18">
        <v>-200</v>
      </c>
    </row>
    <row r="50" spans="1:7" ht="15" customHeight="1">
      <c r="A50" s="16" t="s">
        <v>48</v>
      </c>
      <c r="B50" s="17">
        <v>-1314.73</v>
      </c>
      <c r="C50" s="18">
        <v>-1000</v>
      </c>
      <c r="D50" s="19"/>
      <c r="E50" s="19">
        <v>-105</v>
      </c>
      <c r="F50" s="20">
        <f>-105</f>
        <v>-105</v>
      </c>
      <c r="G50" s="18">
        <v>-1500</v>
      </c>
    </row>
    <row r="51" spans="1:7" ht="15" customHeight="1">
      <c r="A51" s="16" t="s">
        <v>49</v>
      </c>
      <c r="B51" s="17">
        <v>-69685.86</v>
      </c>
      <c r="C51" s="18">
        <v>-79000</v>
      </c>
      <c r="D51" s="19"/>
      <c r="E51" s="19">
        <v>-23700.3</v>
      </c>
      <c r="F51" s="20">
        <f>-23700</f>
        <v>-23700</v>
      </c>
      <c r="G51" s="18">
        <v>-90000</v>
      </c>
    </row>
    <row r="52" spans="1:7" ht="15" customHeight="1">
      <c r="A52" s="16" t="s">
        <v>50</v>
      </c>
      <c r="B52" s="17">
        <v>-258</v>
      </c>
      <c r="C52" s="18">
        <v>-258</v>
      </c>
      <c r="D52" s="19"/>
      <c r="E52" s="19"/>
      <c r="F52" s="20"/>
      <c r="G52" s="18">
        <v>-300</v>
      </c>
    </row>
    <row r="53" spans="1:7" ht="15" customHeight="1">
      <c r="A53" s="16" t="s">
        <v>51</v>
      </c>
      <c r="B53" s="17">
        <v>-6043.66</v>
      </c>
      <c r="C53" s="18">
        <v>-6000</v>
      </c>
      <c r="D53" s="19"/>
      <c r="E53" s="19">
        <v>-909.68</v>
      </c>
      <c r="F53" s="20">
        <f>-910</f>
        <v>-910</v>
      </c>
      <c r="G53" s="18">
        <v>-2000</v>
      </c>
    </row>
    <row r="54" spans="1:7" ht="15" customHeight="1">
      <c r="A54" s="16" t="s">
        <v>52</v>
      </c>
      <c r="B54" s="17">
        <v>0</v>
      </c>
      <c r="C54" s="18">
        <v>-250</v>
      </c>
      <c r="D54" s="19"/>
      <c r="E54" s="19"/>
      <c r="F54" s="20"/>
      <c r="G54" s="18">
        <v>0</v>
      </c>
    </row>
    <row r="55" spans="1:7" ht="15" customHeight="1">
      <c r="A55" s="16" t="s">
        <v>53</v>
      </c>
      <c r="B55" s="17">
        <v>0</v>
      </c>
      <c r="C55" s="18">
        <v>0</v>
      </c>
      <c r="D55" s="56"/>
      <c r="E55" s="56"/>
      <c r="F55" s="57"/>
      <c r="G55" s="58">
        <v>-44000</v>
      </c>
    </row>
    <row r="56" spans="1:7" ht="15" customHeight="1">
      <c r="A56" s="16" t="s">
        <v>54</v>
      </c>
      <c r="B56" s="17">
        <v>0</v>
      </c>
      <c r="C56" s="18">
        <v>-250</v>
      </c>
      <c r="D56" s="19"/>
      <c r="E56" s="19"/>
      <c r="F56" s="20"/>
      <c r="G56" s="18">
        <v>0</v>
      </c>
    </row>
    <row r="57" spans="1:7" ht="15" customHeight="1">
      <c r="A57" s="16" t="s">
        <v>55</v>
      </c>
      <c r="B57" s="17">
        <v>-635.34</v>
      </c>
      <c r="C57" s="18">
        <v>-750</v>
      </c>
      <c r="D57" s="19"/>
      <c r="E57" s="19"/>
      <c r="F57" s="20"/>
      <c r="G57" s="18">
        <v>-750</v>
      </c>
    </row>
    <row r="58" spans="1:7" ht="15" customHeight="1">
      <c r="A58" s="16" t="s">
        <v>56</v>
      </c>
      <c r="B58" s="17">
        <v>-1361.02</v>
      </c>
      <c r="C58" s="18">
        <v>-1500</v>
      </c>
      <c r="D58" s="19">
        <v>-14.99</v>
      </c>
      <c r="E58" s="19">
        <v>-14.99</v>
      </c>
      <c r="F58" s="20">
        <f>-14.99+-14.99+-14.99</f>
        <v>-44.97</v>
      </c>
      <c r="G58" s="18">
        <v>-1500</v>
      </c>
    </row>
    <row r="59" spans="1:7" ht="15" customHeight="1">
      <c r="A59" s="16" t="s">
        <v>57</v>
      </c>
      <c r="B59" s="17">
        <v>-45022.979999999996</v>
      </c>
      <c r="C59" s="18">
        <v>-46800</v>
      </c>
      <c r="D59" s="19"/>
      <c r="E59" s="19">
        <v>-14572.29</v>
      </c>
      <c r="F59" s="20">
        <f>-14572</f>
        <v>-14572</v>
      </c>
      <c r="G59" s="18">
        <v>-60000</v>
      </c>
    </row>
    <row r="60" spans="1:7" ht="15" customHeight="1">
      <c r="A60" s="16" t="s">
        <v>58</v>
      </c>
      <c r="B60" s="17">
        <v>-200</v>
      </c>
      <c r="C60" s="18">
        <v>-200</v>
      </c>
      <c r="D60" s="19"/>
      <c r="E60" s="19"/>
      <c r="F60" s="20"/>
      <c r="G60" s="18">
        <v>-200</v>
      </c>
    </row>
    <row r="61" spans="1:7" ht="15" customHeight="1">
      <c r="A61" s="16" t="s">
        <v>59</v>
      </c>
      <c r="B61" s="17">
        <v>0</v>
      </c>
      <c r="C61" s="18">
        <v>0</v>
      </c>
      <c r="D61" s="19"/>
      <c r="E61" s="19"/>
      <c r="F61" s="20"/>
      <c r="G61" s="18">
        <v>0</v>
      </c>
    </row>
    <row r="62" spans="1:7" ht="15" customHeight="1">
      <c r="A62" s="16" t="s">
        <v>60</v>
      </c>
      <c r="B62" s="17">
        <v>-515.70000000000005</v>
      </c>
      <c r="C62" s="18">
        <v>-500</v>
      </c>
      <c r="D62" s="19"/>
      <c r="E62" s="19"/>
      <c r="F62" s="20"/>
      <c r="G62" s="18">
        <v>-500</v>
      </c>
    </row>
    <row r="63" spans="1:7" ht="15" customHeight="1">
      <c r="A63" s="16" t="s">
        <v>61</v>
      </c>
      <c r="B63" s="17">
        <v>-951.01</v>
      </c>
      <c r="C63" s="18">
        <v>-2000</v>
      </c>
      <c r="D63" s="19"/>
      <c r="E63" s="19"/>
      <c r="F63" s="20"/>
      <c r="G63" s="18">
        <v>-2000</v>
      </c>
    </row>
    <row r="64" spans="1:7" ht="15" customHeight="1">
      <c r="A64" s="16" t="s">
        <v>62</v>
      </c>
      <c r="B64" s="17">
        <v>-2361.84</v>
      </c>
      <c r="C64" s="18">
        <v>0</v>
      </c>
      <c r="D64" s="56"/>
      <c r="E64" s="56">
        <v>-639.76</v>
      </c>
      <c r="F64" s="57">
        <f>-639.73</f>
        <v>-639.73</v>
      </c>
      <c r="G64" s="58">
        <v>-2400</v>
      </c>
    </row>
    <row r="65" spans="1:10" ht="15" customHeight="1">
      <c r="A65" s="16" t="s">
        <v>63</v>
      </c>
      <c r="B65" s="17">
        <v>-13010</v>
      </c>
      <c r="C65" s="18">
        <v>-7000</v>
      </c>
      <c r="D65" s="19"/>
      <c r="E65" s="19"/>
      <c r="F65" s="20"/>
      <c r="G65" s="18">
        <v>-10000</v>
      </c>
    </row>
    <row r="66" spans="1:10" ht="15" customHeight="1">
      <c r="A66" s="16" t="s">
        <v>64</v>
      </c>
      <c r="B66" s="17">
        <v>-384</v>
      </c>
      <c r="C66" s="18">
        <v>-375</v>
      </c>
      <c r="D66" s="19">
        <v>-379.66</v>
      </c>
      <c r="E66" s="19"/>
      <c r="F66" s="20">
        <f>-72+-379.66</f>
        <v>-451.66</v>
      </c>
      <c r="G66" s="18">
        <v>-400</v>
      </c>
    </row>
    <row r="67" spans="1:10" ht="15" customHeight="1">
      <c r="A67" s="16" t="s">
        <v>35</v>
      </c>
      <c r="B67" s="17">
        <v>-1907.45</v>
      </c>
      <c r="C67" s="18">
        <v>-2000</v>
      </c>
      <c r="D67" s="19"/>
      <c r="E67" s="19">
        <v>-2025.9</v>
      </c>
      <c r="F67" s="20">
        <f>-2025.9</f>
        <v>-2025.9</v>
      </c>
      <c r="G67" s="18">
        <v>-2000</v>
      </c>
    </row>
    <row r="68" spans="1:10" ht="15" customHeight="1">
      <c r="A68" s="16" t="s">
        <v>12</v>
      </c>
      <c r="B68" s="17">
        <v>-1641.29</v>
      </c>
      <c r="C68" s="18">
        <v>0</v>
      </c>
      <c r="D68" s="56"/>
      <c r="E68" s="56"/>
      <c r="F68" s="57"/>
      <c r="G68" s="58">
        <v>-2500</v>
      </c>
    </row>
    <row r="69" spans="1:10" ht="15" customHeight="1">
      <c r="A69" s="16" t="s">
        <v>65</v>
      </c>
      <c r="B69" s="17">
        <v>0</v>
      </c>
      <c r="C69" s="18">
        <v>-19150</v>
      </c>
      <c r="D69" s="19"/>
      <c r="E69" s="19"/>
      <c r="F69" s="20"/>
      <c r="G69" s="18">
        <v>0</v>
      </c>
    </row>
    <row r="70" spans="1:10" ht="15" customHeight="1">
      <c r="A70" s="30" t="s">
        <v>66</v>
      </c>
      <c r="B70" s="17">
        <v>-9678.5000000000018</v>
      </c>
      <c r="C70" s="18">
        <v>-6000</v>
      </c>
      <c r="D70" s="19"/>
      <c r="E70" s="19"/>
      <c r="F70" s="20"/>
      <c r="G70" s="18">
        <f>-9655-14198</f>
        <v>-23853</v>
      </c>
    </row>
    <row r="71" spans="1:10" ht="15" customHeight="1">
      <c r="A71" s="30" t="s">
        <v>67</v>
      </c>
      <c r="B71" s="31">
        <v>-2096.9899999999998</v>
      </c>
      <c r="C71" s="32">
        <v>0</v>
      </c>
      <c r="D71" s="60"/>
      <c r="E71" s="60">
        <v>-8627.84</v>
      </c>
      <c r="F71" s="61">
        <f>-8627.84</f>
        <v>-8627.84</v>
      </c>
      <c r="G71" s="62">
        <v>-14253</v>
      </c>
    </row>
    <row r="72" spans="1:10" s="11" customFormat="1" ht="15" customHeight="1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-1415.6200000000001</v>
      </c>
      <c r="E72" s="35">
        <f>SUM(E32:E71)</f>
        <v>-54006.45</v>
      </c>
      <c r="F72" s="35">
        <f>SUM(F32:F71)</f>
        <v>-55571.760000000009</v>
      </c>
      <c r="G72" s="36">
        <f>SUM(G32:G71)</f>
        <v>-320776</v>
      </c>
    </row>
    <row r="73" spans="1:10" ht="15" customHeight="1" thickTop="1">
      <c r="A73" s="37"/>
      <c r="B73" s="17"/>
      <c r="C73" s="28"/>
      <c r="D73" s="20"/>
      <c r="E73" s="20"/>
      <c r="F73" s="20"/>
      <c r="G73" s="28"/>
    </row>
    <row r="74" spans="1:10" s="11" customFormat="1" ht="15" customHeight="1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32441.62</v>
      </c>
      <c r="E74" s="27">
        <f>E31+E72</f>
        <v>-29134.219999999998</v>
      </c>
      <c r="F74" s="27">
        <f>F31+F72</f>
        <v>10678.939999999988</v>
      </c>
      <c r="G74" s="26">
        <f>G31+G72</f>
        <v>-59926</v>
      </c>
    </row>
    <row r="75" spans="1:10" ht="15" customHeight="1" thickTop="1">
      <c r="A75" s="37"/>
      <c r="B75" s="17"/>
      <c r="C75" s="28"/>
      <c r="D75" s="20"/>
      <c r="E75" s="20"/>
      <c r="F75" s="20"/>
      <c r="G75" s="28"/>
    </row>
    <row r="76" spans="1:10" ht="15" customHeight="1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10" ht="15" customHeight="1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329448.03999999998</v>
      </c>
      <c r="G77" s="44">
        <f>G76+G74</f>
        <v>258843.09999999998</v>
      </c>
      <c r="I77" s="45"/>
      <c r="J77" s="46"/>
    </row>
    <row r="78" spans="1:10" ht="15" customHeight="1">
      <c r="B78" s="47"/>
      <c r="C78" s="14"/>
      <c r="D78" s="14"/>
      <c r="E78" s="14"/>
      <c r="I78" s="30"/>
      <c r="J78" s="46"/>
    </row>
    <row r="79" spans="1:10" s="49" customFormat="1" ht="15" customHeight="1">
      <c r="A79" s="48" t="s">
        <v>72</v>
      </c>
      <c r="B79" s="49" t="s">
        <v>73</v>
      </c>
      <c r="C79" s="49" t="s">
        <v>74</v>
      </c>
      <c r="F79" s="49" t="s">
        <v>73</v>
      </c>
      <c r="G79" s="49" t="s">
        <v>74</v>
      </c>
    </row>
    <row r="80" spans="1:10" ht="15" customHeight="1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 ht="15" customHeight="1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ht="15" customHeight="1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 ht="15" customHeight="1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 ht="15" customHeight="1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 ht="15" customHeight="1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 ht="15" customHeight="1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 ht="15" customHeight="1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 ht="15" customHeight="1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 ht="15" customHeight="1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s="55" customFormat="1" ht="15" customHeight="1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</row>
    <row r="91" spans="1:8" s="55" customFormat="1" ht="15" customHeight="1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</row>
    <row r="92" spans="1:8" s="55" customFormat="1" ht="15" customHeight="1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CDBA-44B8-4DDF-954F-5F601AF56775}">
  <dimension ref="A1:H92"/>
  <sheetViews>
    <sheetView workbookViewId="0">
      <selection activeCell="F84" sqref="F8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</v>
      </c>
      <c r="E5" s="9" t="s">
        <v>88</v>
      </c>
      <c r="F5" s="9" t="s">
        <v>89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56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19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19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19"/>
      <c r="E10" s="63">
        <v>14546.5</v>
      </c>
      <c r="F10" s="20">
        <f>E10</f>
        <v>14546.5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19"/>
      <c r="E11" s="63"/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19">
        <v>476.12</v>
      </c>
      <c r="E12" s="63"/>
      <c r="F12" s="20">
        <f>476</f>
        <v>476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19">
        <v>1845</v>
      </c>
      <c r="E13" s="63">
        <v>881</v>
      </c>
      <c r="F13" s="20">
        <f>455+1845+881</f>
        <v>3181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19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56"/>
      <c r="E15" s="63">
        <v>66370</v>
      </c>
      <c r="F15" s="57">
        <f>E15</f>
        <v>66370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19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19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22">
        <v>4500</v>
      </c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19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19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19">
        <v>3.62</v>
      </c>
      <c r="E21" s="63">
        <v>3.74</v>
      </c>
      <c r="F21" s="20">
        <f>3.74+3.74+3.62+3.74</f>
        <v>14.840000000000002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59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56">
        <v>280.5</v>
      </c>
      <c r="E23" s="63">
        <v>-434.5</v>
      </c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56">
        <v>1400</v>
      </c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22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56">
        <v>-161.37</v>
      </c>
      <c r="E26" s="63">
        <v>1247.3499999999999</v>
      </c>
      <c r="F26" s="57">
        <f>-161+1247</f>
        <v>1086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19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19"/>
      <c r="E28" s="63"/>
      <c r="F28" s="20"/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22">
        <v>13935</v>
      </c>
      <c r="E29" s="63">
        <f>3101-1344.19</f>
        <v>1756.81</v>
      </c>
      <c r="F29" s="20">
        <f>7204.4+32335+13935+1757</f>
        <v>55231.4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56">
        <v>2593.36</v>
      </c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24872.23</v>
      </c>
      <c r="E31" s="27">
        <f>SUM(E6:E30)</f>
        <v>84370.900000000009</v>
      </c>
      <c r="F31" s="27">
        <f>SUM(F6:F30)</f>
        <v>150620.93999999997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19"/>
      <c r="E33" s="63">
        <v>-679.62</v>
      </c>
      <c r="F33" s="20">
        <f>E33</f>
        <v>-679.62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19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19">
        <v>-855.38</v>
      </c>
      <c r="E35" s="63">
        <v>-284.45999999999998</v>
      </c>
      <c r="F35" s="20">
        <f>-855-284</f>
        <v>-1139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19">
        <v>-323.69</v>
      </c>
      <c r="E36" s="63">
        <v>-3383.78</v>
      </c>
      <c r="F36" s="20">
        <f>-63.63+-1020.97+-323.69+-3384</f>
        <v>-4792.29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19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19"/>
      <c r="E38" s="63">
        <v>-384.77</v>
      </c>
      <c r="F38" s="20">
        <f>E38</f>
        <v>-384.77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19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56">
        <v>-1013.5</v>
      </c>
      <c r="E40" s="63"/>
      <c r="F40" s="57">
        <f>-1013.5</f>
        <v>-1013.5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19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19"/>
      <c r="E42" s="63"/>
      <c r="F42" s="20"/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19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19">
        <v>-1129.25</v>
      </c>
      <c r="E44" s="63">
        <v>-3126.04</v>
      </c>
      <c r="F44" s="20">
        <f>-1129+-3126</f>
        <v>-4255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19">
        <v>-88.87</v>
      </c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19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19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19"/>
      <c r="E48" s="63"/>
      <c r="F48" s="20"/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19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19">
        <v>-105</v>
      </c>
      <c r="E50" s="63"/>
      <c r="F50" s="20">
        <f>-105</f>
        <v>-105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19">
        <v>-23700.3</v>
      </c>
      <c r="E51" s="63"/>
      <c r="F51" s="20">
        <f>-23700</f>
        <v>-23700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19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19">
        <v>-909.68</v>
      </c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19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56"/>
      <c r="E55" s="63"/>
      <c r="F55" s="57"/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19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19"/>
      <c r="E57" s="63">
        <v>-162.96</v>
      </c>
      <c r="F57" s="20">
        <f>E57</f>
        <v>-162.96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19">
        <v>-14.99</v>
      </c>
      <c r="E58" s="63">
        <v>-378.78</v>
      </c>
      <c r="F58" s="20">
        <f>-14.99+-14.99+-14.99+-379</f>
        <v>-423.97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19">
        <v>-14572.29</v>
      </c>
      <c r="E59" s="63"/>
      <c r="F59" s="20">
        <f>-14572</f>
        <v>-14572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19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19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19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19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56">
        <v>-639.76</v>
      </c>
      <c r="E64" s="63"/>
      <c r="F64" s="57">
        <f>-639.73</f>
        <v>-639.73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19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19"/>
      <c r="E66" s="63">
        <v>-409.32</v>
      </c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19">
        <v>-2025.9</v>
      </c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56"/>
      <c r="E68" s="63"/>
      <c r="F68" s="57"/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19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19"/>
      <c r="E70" s="63"/>
      <c r="F70" s="20">
        <f>E70</f>
        <v>0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0">
        <v>-8627.84</v>
      </c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-54006.45</v>
      </c>
      <c r="E72" s="35">
        <f>SUM(E32:E71)</f>
        <v>-8809.7300000000014</v>
      </c>
      <c r="F72" s="35">
        <f>SUM(F32:F71)</f>
        <v>-64381.110000000015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-29134.219999999998</v>
      </c>
      <c r="E74" s="27">
        <f>E31+E72</f>
        <v>75561.170000000013</v>
      </c>
      <c r="F74" s="27">
        <f>F31+F72</f>
        <v>86239.829999999958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405008.92999999993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6599-EC8C-4AE5-9291-3C0BD75E720E}">
  <dimension ref="A1:H92"/>
  <sheetViews>
    <sheetView workbookViewId="0"/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88</v>
      </c>
      <c r="E5" s="9" t="s">
        <v>90</v>
      </c>
      <c r="F5" s="9" t="s">
        <v>91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>
        <v>14546.5</v>
      </c>
      <c r="E10" s="63">
        <v>3007</v>
      </c>
      <c r="F10" s="20">
        <f>D10+3007</f>
        <v>17553.5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/>
      <c r="E11" s="63">
        <v>190.58</v>
      </c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/>
      <c r="E12" s="63"/>
      <c r="F12" s="20">
        <f>476</f>
        <v>476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>
        <v>881</v>
      </c>
      <c r="E13" s="63">
        <v>205</v>
      </c>
      <c r="F13" s="20">
        <f>455+1845+881+205</f>
        <v>3386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>
        <v>66370</v>
      </c>
      <c r="E15" s="63">
        <v>100</v>
      </c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3.74</v>
      </c>
      <c r="E21" s="63">
        <v>3.62</v>
      </c>
      <c r="F21" s="20">
        <f>3.74+3.74+3.62+3.74+3.62</f>
        <v>18.46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>
        <v>-434.5</v>
      </c>
      <c r="E23" s="63"/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>
        <v>1247.3499999999999</v>
      </c>
      <c r="E26" s="63"/>
      <c r="F26" s="57">
        <f>-161+1247</f>
        <v>1086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/>
      <c r="E28" s="63">
        <v>3207</v>
      </c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f>3101-1344.19</f>
        <v>1756.81</v>
      </c>
      <c r="E29" s="63">
        <v>1570</v>
      </c>
      <c r="F29" s="20">
        <f>7204.4+32335+13935+1757+1570</f>
        <v>56801.4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84370.900000000009</v>
      </c>
      <c r="E31" s="27">
        <f>SUM(E6:E30)</f>
        <v>8283.2000000000007</v>
      </c>
      <c r="F31" s="27">
        <f>SUM(F6:F30)</f>
        <v>158713.56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>
        <v>-679.62</v>
      </c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-284.45999999999998</v>
      </c>
      <c r="E35" s="63">
        <v>-160</v>
      </c>
      <c r="F35" s="20">
        <f>-855-284-160</f>
        <v>-1299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-3383.78</v>
      </c>
      <c r="E36" s="63">
        <v>-81.92</v>
      </c>
      <c r="F36" s="20">
        <f>-63.63+-1020.97+-323.69+-3384+-82</f>
        <v>-4874.29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>
        <v>-384.77</v>
      </c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/>
      <c r="E40" s="63">
        <v>-74.83</v>
      </c>
      <c r="F40" s="57">
        <f>-1013.5+-75</f>
        <v>-1088.5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/>
      <c r="E42" s="63"/>
      <c r="F42" s="20"/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>
        <v>-3126.04</v>
      </c>
      <c r="E44" s="63">
        <v>-2643.86</v>
      </c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/>
      <c r="E48" s="63">
        <v>-160.85</v>
      </c>
      <c r="F48" s="20">
        <f>-161</f>
        <v>-161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/>
      <c r="E50" s="63"/>
      <c r="F50" s="20">
        <f>-105</f>
        <v>-105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/>
      <c r="E51" s="63">
        <v>-11271.54</v>
      </c>
      <c r="F51" s="20">
        <f>-23700+-11272</f>
        <v>-34972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/>
      <c r="E55" s="63">
        <v>-20000</v>
      </c>
      <c r="F55" s="57">
        <f>-20000</f>
        <v>-20000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>
        <v>-162.96</v>
      </c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-378.78</v>
      </c>
      <c r="E58" s="63">
        <v>-14.99</v>
      </c>
      <c r="F58" s="20">
        <f>-14.99+-14.99+-14.99+-379+-15</f>
        <v>-438.97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/>
      <c r="E59" s="63">
        <v>-9657.17</v>
      </c>
      <c r="F59" s="20">
        <f>-14572+-9657</f>
        <v>-24229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/>
      <c r="E64" s="63"/>
      <c r="F64" s="57">
        <f>-639.73</f>
        <v>-639.73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>
        <v>-409.32</v>
      </c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/>
      <c r="E68" s="63"/>
      <c r="F68" s="57"/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/>
      <c r="E70" s="63">
        <v>-172.14</v>
      </c>
      <c r="F70" s="20">
        <f>-172</f>
        <v>-172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-8809.7300000000014</v>
      </c>
      <c r="E72" s="35">
        <f>SUM(E32:E71)</f>
        <v>-44237.299999999996</v>
      </c>
      <c r="F72" s="35">
        <f>SUM(F32:F71)</f>
        <v>-107391.76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75561.170000000013</v>
      </c>
      <c r="E74" s="27">
        <f>E31+E72</f>
        <v>-35954.099999999991</v>
      </c>
      <c r="F74" s="27">
        <f>F31+F72</f>
        <v>51321.8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370090.89999999997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D83E-13B6-45D3-A453-FC8E0A8AD5A4}">
  <dimension ref="A1:H92"/>
  <sheetViews>
    <sheetView tabSelected="1" workbookViewId="0">
      <selection activeCell="F89" sqref="F89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90</v>
      </c>
      <c r="E5" s="9" t="s">
        <v>92</v>
      </c>
      <c r="F5" s="9" t="s">
        <v>93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>
        <v>3007</v>
      </c>
      <c r="E10" s="63">
        <v>5000</v>
      </c>
      <c r="F10" s="20">
        <f>14547+3007+5000</f>
        <v>22554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>
        <v>190.58</v>
      </c>
      <c r="E11" s="63"/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/>
      <c r="E12" s="63">
        <v>1198.1400000000001</v>
      </c>
      <c r="F12" s="20">
        <f>476+1198</f>
        <v>1674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>
        <v>205</v>
      </c>
      <c r="E13" s="63">
        <v>25</v>
      </c>
      <c r="F13" s="20">
        <f>455+1845+881+205+25</f>
        <v>3411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>
        <v>100</v>
      </c>
      <c r="E15" s="63"/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3.62</v>
      </c>
      <c r="E21" s="63">
        <v>3.74</v>
      </c>
      <c r="F21" s="20">
        <f>3.74+3.74+3.62+3.74+3.62+3.74</f>
        <v>22.200000000000003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/>
      <c r="E23" s="63"/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>
        <v>-2000</v>
      </c>
      <c r="F25" s="20">
        <f>-2000</f>
        <v>-2000</v>
      </c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/>
      <c r="E26" s="63">
        <v>365.1</v>
      </c>
      <c r="F26" s="57">
        <f>-161+1247+365</f>
        <v>1451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>
        <v>3207</v>
      </c>
      <c r="E28" s="63"/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v>1570</v>
      </c>
      <c r="E29" s="63">
        <v>13395.75</v>
      </c>
      <c r="F29" s="20">
        <f>7204.4+32335+13935+1757+1570+13396</f>
        <v>70197.399999999994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8283.2000000000007</v>
      </c>
      <c r="E31" s="27">
        <f>SUM(E6:E30)</f>
        <v>17987.73</v>
      </c>
      <c r="F31" s="27">
        <f>SUM(F6:F30)</f>
        <v>176701.8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/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-160</v>
      </c>
      <c r="E35" s="63">
        <v>-336.61</v>
      </c>
      <c r="F35" s="20">
        <f>-855-284-160-337</f>
        <v>-1636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-81.92</v>
      </c>
      <c r="E36" s="63">
        <v>-163.68</v>
      </c>
      <c r="F36" s="20">
        <f>-63.63+-1020.97+-323.69+-3384+-82+-164</f>
        <v>-5038.29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/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>
        <v>-74.83</v>
      </c>
      <c r="E40" s="63">
        <v>-769.32</v>
      </c>
      <c r="F40" s="57">
        <f>-1013.5+-75+-769</f>
        <v>-1857.5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/>
      <c r="E42" s="63">
        <v>-163.38</v>
      </c>
      <c r="F42" s="20">
        <f>-163</f>
        <v>-163</v>
      </c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>
        <v>-2643.86</v>
      </c>
      <c r="E44" s="63"/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>
        <v>-160.85</v>
      </c>
      <c r="E48" s="63"/>
      <c r="F48" s="20">
        <f>-161</f>
        <v>-161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/>
      <c r="E50" s="63">
        <v>-308.18</v>
      </c>
      <c r="F50" s="20">
        <f>+-308</f>
        <v>-308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>
        <v>-11271.54</v>
      </c>
      <c r="E51" s="63"/>
      <c r="F51" s="20">
        <f>-23700+-11272</f>
        <v>-34972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>
        <v>-20000</v>
      </c>
      <c r="E55" s="63"/>
      <c r="F55" s="57">
        <f>-20000</f>
        <v>-20000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/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-14.99</v>
      </c>
      <c r="E58" s="63">
        <v>-14.99</v>
      </c>
      <c r="F58" s="20">
        <f>-14.99+-14.99+-14.99+-379+-15+-15</f>
        <v>-453.97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>
        <v>-9657.17</v>
      </c>
      <c r="E59" s="63"/>
      <c r="F59" s="20">
        <f>-14572+-9657</f>
        <v>-24229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/>
      <c r="E64" s="63">
        <v>-455.35</v>
      </c>
      <c r="F64" s="57">
        <f>-639.73+-455</f>
        <v>-1094.73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/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/>
      <c r="E68" s="63">
        <v>-697.71</v>
      </c>
      <c r="F68" s="57">
        <f>-698</f>
        <v>-698</v>
      </c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>
        <v>-172.14</v>
      </c>
      <c r="E70" s="63">
        <v>-3262.23</v>
      </c>
      <c r="F70" s="20">
        <f>-172+-3262</f>
        <v>-3434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-44237.299999999996</v>
      </c>
      <c r="E72" s="35">
        <f>SUM(E32:E71)</f>
        <v>-6171.4500000000007</v>
      </c>
      <c r="F72" s="35">
        <f>SUM(F32:F71)</f>
        <v>-113457.76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-35954.099999999991</v>
      </c>
      <c r="E74" s="27">
        <f>E31+E72</f>
        <v>11816.279999999999</v>
      </c>
      <c r="F74" s="27">
        <f>F31+F72</f>
        <v>63244.039999999994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382013.13999999996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</f>
        <v>28008.77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200218.05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118551.04999999999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Valle Verde</cp:lastModifiedBy>
  <cp:revision/>
  <dcterms:created xsi:type="dcterms:W3CDTF">2022-08-13T19:01:59Z</dcterms:created>
  <dcterms:modified xsi:type="dcterms:W3CDTF">2023-01-10T00:28:40Z</dcterms:modified>
  <cp:category/>
  <cp:contentStatus/>
</cp:coreProperties>
</file>