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us WebStorage\julia_petrov@hotmail.com\MySyncFolder\VVPTA\2022-2023\July 2022\"/>
    </mc:Choice>
  </mc:AlternateContent>
  <xr:revisionPtr revIDLastSave="776" documentId="8_{DF5E401E-20B6-4EDF-99F1-99D2B74A958E}" xr6:coauthVersionLast="47" xr6:coauthVersionMax="47" xr10:uidLastSave="{F3FA4AC8-A749-4F16-894A-16DC36436241}"/>
  <bookViews>
    <workbookView xWindow="-120" yWindow="-120" windowWidth="29040" windowHeight="15840" firstSheet="9" activeTab="9" xr2:uid="{B88C7FD0-E993-466A-A8F7-EDEFF2F105CF}"/>
  </bookViews>
  <sheets>
    <sheet name="2023-2024 Budget" sheetId="2" r:id="rId1"/>
    <sheet name="2023-2024 Budget Proposal" sheetId="13" r:id="rId2"/>
    <sheet name="July 2023" sheetId="14" r:id="rId3"/>
    <sheet name="August 2023 " sheetId="15" r:id="rId4"/>
    <sheet name="September 2023" sheetId="16" r:id="rId5"/>
    <sheet name="October 2023" sheetId="17" r:id="rId6"/>
    <sheet name="November 2023" sheetId="18" r:id="rId7"/>
    <sheet name="December 2023" sheetId="19" r:id="rId8"/>
    <sheet name="January 2024" sheetId="20" r:id="rId9"/>
    <sheet name="February 2024" sheetId="21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1" l="1"/>
  <c r="F59" i="21"/>
  <c r="F52" i="21"/>
  <c r="F50" i="21"/>
  <c r="F46" i="21"/>
  <c r="F39" i="21"/>
  <c r="F32" i="21"/>
  <c r="F31" i="21"/>
  <c r="F59" i="20"/>
  <c r="F58" i="20"/>
  <c r="F51" i="20"/>
  <c r="F49" i="20"/>
  <c r="F48" i="20"/>
  <c r="F46" i="20"/>
  <c r="F39" i="20"/>
  <c r="F32" i="20"/>
  <c r="F31" i="20"/>
  <c r="F51" i="21"/>
  <c r="F43" i="21"/>
  <c r="F41" i="21"/>
  <c r="F26" i="21"/>
  <c r="F22" i="21"/>
  <c r="F18" i="21"/>
  <c r="F12" i="21"/>
  <c r="C82" i="21"/>
  <c r="B82" i="21"/>
  <c r="G80" i="21"/>
  <c r="F78" i="21"/>
  <c r="F76" i="21"/>
  <c r="G76" i="21" s="1"/>
  <c r="G82" i="21" s="1"/>
  <c r="F75" i="21"/>
  <c r="F74" i="21"/>
  <c r="F82" i="21" s="1"/>
  <c r="C66" i="21"/>
  <c r="G62" i="21"/>
  <c r="E62" i="21"/>
  <c r="D62" i="21"/>
  <c r="F61" i="21"/>
  <c r="B61" i="21"/>
  <c r="C60" i="21"/>
  <c r="C62" i="21" s="1"/>
  <c r="B60" i="21"/>
  <c r="B59" i="21"/>
  <c r="F58" i="21"/>
  <c r="B58" i="21"/>
  <c r="F57" i="21"/>
  <c r="B57" i="21"/>
  <c r="F56" i="21"/>
  <c r="B56" i="21"/>
  <c r="B55" i="21"/>
  <c r="F54" i="21"/>
  <c r="B53" i="21"/>
  <c r="B52" i="21"/>
  <c r="B51" i="21"/>
  <c r="B50" i="21"/>
  <c r="B49" i="21"/>
  <c r="B46" i="21"/>
  <c r="F45" i="21"/>
  <c r="B45" i="21"/>
  <c r="F44" i="21"/>
  <c r="B43" i="21"/>
  <c r="F42" i="21"/>
  <c r="B42" i="21"/>
  <c r="B41" i="21"/>
  <c r="F40" i="21"/>
  <c r="B40" i="21"/>
  <c r="B39" i="21"/>
  <c r="B37" i="21"/>
  <c r="F35" i="21"/>
  <c r="B35" i="21"/>
  <c r="B34" i="21"/>
  <c r="B32" i="21"/>
  <c r="F62" i="21"/>
  <c r="B31" i="21"/>
  <c r="B62" i="21" s="1"/>
  <c r="G28" i="21"/>
  <c r="G64" i="21" s="1"/>
  <c r="E28" i="21"/>
  <c r="E64" i="21" s="1"/>
  <c r="D28" i="21"/>
  <c r="D64" i="21" s="1"/>
  <c r="C28" i="21"/>
  <c r="C64" i="21" s="1"/>
  <c r="B27" i="21"/>
  <c r="B26" i="21"/>
  <c r="F25" i="21"/>
  <c r="B25" i="21"/>
  <c r="F23" i="21"/>
  <c r="B23" i="21"/>
  <c r="F21" i="21"/>
  <c r="B21" i="21"/>
  <c r="F20" i="21"/>
  <c r="B20" i="21"/>
  <c r="F19" i="21"/>
  <c r="B19" i="21"/>
  <c r="B18" i="21"/>
  <c r="B16" i="21"/>
  <c r="B15" i="21"/>
  <c r="F14" i="21"/>
  <c r="B14" i="21"/>
  <c r="F13" i="21"/>
  <c r="B13" i="21"/>
  <c r="B12" i="21"/>
  <c r="B11" i="21"/>
  <c r="F10" i="21"/>
  <c r="B10" i="21"/>
  <c r="F9" i="21"/>
  <c r="B9" i="21"/>
  <c r="F8" i="21"/>
  <c r="F28" i="21" s="1"/>
  <c r="F64" i="21" s="1"/>
  <c r="B8" i="21"/>
  <c r="B7" i="21"/>
  <c r="B28" i="21" s="1"/>
  <c r="B64" i="21" s="1"/>
  <c r="B67" i="21" s="1"/>
  <c r="F59" i="19"/>
  <c r="F55" i="19"/>
  <c r="F49" i="19"/>
  <c r="F44" i="19"/>
  <c r="F41" i="19"/>
  <c r="F32" i="19"/>
  <c r="F26" i="19"/>
  <c r="F23" i="19"/>
  <c r="F20" i="19"/>
  <c r="F18" i="19"/>
  <c r="F12" i="19"/>
  <c r="C81" i="20"/>
  <c r="B81" i="20"/>
  <c r="G79" i="20"/>
  <c r="F77" i="20"/>
  <c r="F75" i="20"/>
  <c r="G75" i="20" s="1"/>
  <c r="G81" i="20" s="1"/>
  <c r="F74" i="20"/>
  <c r="F73" i="20"/>
  <c r="F81" i="20" s="1"/>
  <c r="C65" i="20"/>
  <c r="G61" i="20"/>
  <c r="E61" i="20"/>
  <c r="D61" i="20"/>
  <c r="F60" i="20"/>
  <c r="B60" i="20"/>
  <c r="C59" i="20"/>
  <c r="C61" i="20" s="1"/>
  <c r="B59" i="20"/>
  <c r="B58" i="20"/>
  <c r="F57" i="20"/>
  <c r="B57" i="20"/>
  <c r="F56" i="20"/>
  <c r="B56" i="20"/>
  <c r="F55" i="20"/>
  <c r="B55" i="20"/>
  <c r="B54" i="20"/>
  <c r="F53" i="20"/>
  <c r="B52" i="20"/>
  <c r="B51" i="20"/>
  <c r="F50" i="20"/>
  <c r="B50" i="20"/>
  <c r="B49" i="20"/>
  <c r="B48" i="20"/>
  <c r="B46" i="20"/>
  <c r="F45" i="20"/>
  <c r="B45" i="20"/>
  <c r="F44" i="20"/>
  <c r="F43" i="20"/>
  <c r="B43" i="20"/>
  <c r="F42" i="20"/>
  <c r="B42" i="20"/>
  <c r="F41" i="20"/>
  <c r="B41" i="20"/>
  <c r="F40" i="20"/>
  <c r="B40" i="20"/>
  <c r="B39" i="20"/>
  <c r="B37" i="20"/>
  <c r="F35" i="20"/>
  <c r="B35" i="20"/>
  <c r="B34" i="20"/>
  <c r="B32" i="20"/>
  <c r="F61" i="20"/>
  <c r="B31" i="20"/>
  <c r="B61" i="20" s="1"/>
  <c r="G28" i="20"/>
  <c r="G63" i="20" s="1"/>
  <c r="E28" i="20"/>
  <c r="E63" i="20" s="1"/>
  <c r="D28" i="20"/>
  <c r="D63" i="20" s="1"/>
  <c r="C28" i="20"/>
  <c r="C63" i="20" s="1"/>
  <c r="B27" i="20"/>
  <c r="F26" i="20"/>
  <c r="B26" i="20"/>
  <c r="F25" i="20"/>
  <c r="B25" i="20"/>
  <c r="F23" i="20"/>
  <c r="B23" i="20"/>
  <c r="F21" i="20"/>
  <c r="B21" i="20"/>
  <c r="F20" i="20"/>
  <c r="B20" i="20"/>
  <c r="F19" i="20"/>
  <c r="B19" i="20"/>
  <c r="F18" i="20"/>
  <c r="B18" i="20"/>
  <c r="B16" i="20"/>
  <c r="B15" i="20"/>
  <c r="F14" i="20"/>
  <c r="B14" i="20"/>
  <c r="F13" i="20"/>
  <c r="B13" i="20"/>
  <c r="F12" i="20"/>
  <c r="B12" i="20"/>
  <c r="B11" i="20"/>
  <c r="F10" i="20"/>
  <c r="B10" i="20"/>
  <c r="F9" i="20"/>
  <c r="B9" i="20"/>
  <c r="F8" i="20"/>
  <c r="F28" i="20" s="1"/>
  <c r="F63" i="20" s="1"/>
  <c r="B8" i="20"/>
  <c r="B7" i="20"/>
  <c r="B28" i="20" s="1"/>
  <c r="B63" i="20" s="1"/>
  <c r="B66" i="20" s="1"/>
  <c r="F21" i="19"/>
  <c r="F14" i="19"/>
  <c r="C81" i="19"/>
  <c r="B81" i="19"/>
  <c r="G79" i="19"/>
  <c r="F77" i="19"/>
  <c r="F75" i="19"/>
  <c r="G75" i="19" s="1"/>
  <c r="G81" i="19" s="1"/>
  <c r="F74" i="19"/>
  <c r="F73" i="19"/>
  <c r="F81" i="19" s="1"/>
  <c r="C65" i="19"/>
  <c r="G61" i="19"/>
  <c r="E61" i="19"/>
  <c r="D61" i="19"/>
  <c r="F60" i="19"/>
  <c r="B60" i="19"/>
  <c r="C59" i="19"/>
  <c r="C61" i="19" s="1"/>
  <c r="B59" i="19"/>
  <c r="B58" i="19"/>
  <c r="F57" i="19"/>
  <c r="B57" i="19"/>
  <c r="F56" i="19"/>
  <c r="B56" i="19"/>
  <c r="B55" i="19"/>
  <c r="B54" i="19"/>
  <c r="F53" i="19"/>
  <c r="B52" i="19"/>
  <c r="B51" i="19"/>
  <c r="F50" i="19"/>
  <c r="B50" i="19"/>
  <c r="B49" i="19"/>
  <c r="B48" i="19"/>
  <c r="B46" i="19"/>
  <c r="F45" i="19"/>
  <c r="B45" i="19"/>
  <c r="F43" i="19"/>
  <c r="B43" i="19"/>
  <c r="F42" i="19"/>
  <c r="B42" i="19"/>
  <c r="B41" i="19"/>
  <c r="F40" i="19"/>
  <c r="B40" i="19"/>
  <c r="F39" i="19"/>
  <c r="B39" i="19"/>
  <c r="B37" i="19"/>
  <c r="F35" i="19"/>
  <c r="B35" i="19"/>
  <c r="B34" i="19"/>
  <c r="B32" i="19"/>
  <c r="F31" i="19"/>
  <c r="F61" i="19" s="1"/>
  <c r="B31" i="19"/>
  <c r="B61" i="19" s="1"/>
  <c r="G28" i="19"/>
  <c r="G63" i="19" s="1"/>
  <c r="E28" i="19"/>
  <c r="E63" i="19" s="1"/>
  <c r="D28" i="19"/>
  <c r="D63" i="19" s="1"/>
  <c r="C28" i="19"/>
  <c r="C63" i="19" s="1"/>
  <c r="B27" i="19"/>
  <c r="B26" i="19"/>
  <c r="F25" i="19"/>
  <c r="B25" i="19"/>
  <c r="B23" i="19"/>
  <c r="B21" i="19"/>
  <c r="B20" i="19"/>
  <c r="F19" i="19"/>
  <c r="B19" i="19"/>
  <c r="B18" i="19"/>
  <c r="B16" i="19"/>
  <c r="B15" i="19"/>
  <c r="B14" i="19"/>
  <c r="F13" i="19"/>
  <c r="B13" i="19"/>
  <c r="B12" i="19"/>
  <c r="B11" i="19"/>
  <c r="F10" i="19"/>
  <c r="F28" i="19" s="1"/>
  <c r="F63" i="19" s="1"/>
  <c r="B10" i="19"/>
  <c r="B9" i="19"/>
  <c r="B8" i="19"/>
  <c r="B7" i="19"/>
  <c r="B28" i="19" s="1"/>
  <c r="B63" i="19" s="1"/>
  <c r="B66" i="19" s="1"/>
  <c r="F49" i="18"/>
  <c r="F32" i="18"/>
  <c r="F26" i="18"/>
  <c r="F25" i="18"/>
  <c r="F18" i="18"/>
  <c r="F14" i="18"/>
  <c r="F13" i="18"/>
  <c r="F12" i="18"/>
  <c r="F10" i="18"/>
  <c r="C81" i="18"/>
  <c r="B81" i="18"/>
  <c r="G79" i="18"/>
  <c r="F77" i="18"/>
  <c r="F75" i="18"/>
  <c r="G75" i="18" s="1"/>
  <c r="G81" i="18" s="1"/>
  <c r="F74" i="18"/>
  <c r="F73" i="18"/>
  <c r="F81" i="18" s="1"/>
  <c r="C65" i="18"/>
  <c r="G61" i="18"/>
  <c r="E61" i="18"/>
  <c r="D61" i="18"/>
  <c r="F60" i="18"/>
  <c r="B60" i="18"/>
  <c r="F59" i="18"/>
  <c r="C59" i="18"/>
  <c r="C61" i="18" s="1"/>
  <c r="B59" i="18"/>
  <c r="B58" i="18"/>
  <c r="F57" i="18"/>
  <c r="B57" i="18"/>
  <c r="F56" i="18"/>
  <c r="B56" i="18"/>
  <c r="B55" i="18"/>
  <c r="F55" i="18"/>
  <c r="B54" i="18"/>
  <c r="F53" i="18"/>
  <c r="B52" i="18"/>
  <c r="B51" i="18"/>
  <c r="F50" i="18"/>
  <c r="B50" i="18"/>
  <c r="B49" i="18"/>
  <c r="B48" i="18"/>
  <c r="B46" i="18"/>
  <c r="F45" i="18"/>
  <c r="B45" i="18"/>
  <c r="F44" i="18"/>
  <c r="F43" i="18"/>
  <c r="B43" i="18"/>
  <c r="F42" i="18"/>
  <c r="B42" i="18"/>
  <c r="F41" i="18"/>
  <c r="B41" i="18"/>
  <c r="F40" i="18"/>
  <c r="B40" i="18"/>
  <c r="F39" i="18"/>
  <c r="B39" i="18"/>
  <c r="B37" i="18"/>
  <c r="F35" i="18"/>
  <c r="B35" i="18"/>
  <c r="B34" i="18"/>
  <c r="B32" i="18"/>
  <c r="F31" i="18"/>
  <c r="F61" i="18" s="1"/>
  <c r="B31" i="18"/>
  <c r="B61" i="18" s="1"/>
  <c r="G28" i="18"/>
  <c r="G63" i="18" s="1"/>
  <c r="E28" i="18"/>
  <c r="E63" i="18" s="1"/>
  <c r="D28" i="18"/>
  <c r="D63" i="18" s="1"/>
  <c r="C28" i="18"/>
  <c r="C63" i="18" s="1"/>
  <c r="B27" i="18"/>
  <c r="B26" i="18"/>
  <c r="B25" i="18"/>
  <c r="B23" i="18"/>
  <c r="B21" i="18"/>
  <c r="F20" i="18"/>
  <c r="B20" i="18"/>
  <c r="F19" i="18"/>
  <c r="B19" i="18"/>
  <c r="B18" i="18"/>
  <c r="B16" i="18"/>
  <c r="B15" i="18"/>
  <c r="B14" i="18"/>
  <c r="B13" i="18"/>
  <c r="B12" i="18"/>
  <c r="B11" i="18"/>
  <c r="F28" i="18"/>
  <c r="F63" i="18" s="1"/>
  <c r="B10" i="18"/>
  <c r="B9" i="18"/>
  <c r="B8" i="18"/>
  <c r="B7" i="18"/>
  <c r="B28" i="18" s="1"/>
  <c r="B63" i="18" s="1"/>
  <c r="B66" i="18" s="1"/>
  <c r="F60" i="17"/>
  <c r="F59" i="17"/>
  <c r="F54" i="17"/>
  <c r="F53" i="17"/>
  <c r="F50" i="17"/>
  <c r="F49" i="17"/>
  <c r="F45" i="17"/>
  <c r="F44" i="17"/>
  <c r="F43" i="17"/>
  <c r="F41" i="17"/>
  <c r="F40" i="17"/>
  <c r="F39" i="17"/>
  <c r="F35" i="17"/>
  <c r="F32" i="17"/>
  <c r="F31" i="17"/>
  <c r="F26" i="17"/>
  <c r="F20" i="17"/>
  <c r="F18" i="17"/>
  <c r="F14" i="17"/>
  <c r="F12" i="17"/>
  <c r="F10" i="17"/>
  <c r="C81" i="17"/>
  <c r="B81" i="17"/>
  <c r="G79" i="17"/>
  <c r="F77" i="17"/>
  <c r="F75" i="17"/>
  <c r="G75" i="17" s="1"/>
  <c r="G81" i="17" s="1"/>
  <c r="F74" i="17"/>
  <c r="F73" i="17"/>
  <c r="F81" i="17" s="1"/>
  <c r="C65" i="17"/>
  <c r="G61" i="17"/>
  <c r="E61" i="17"/>
  <c r="D61" i="17"/>
  <c r="B60" i="17"/>
  <c r="C59" i="17"/>
  <c r="C61" i="17" s="1"/>
  <c r="B59" i="17"/>
  <c r="B58" i="17"/>
  <c r="F57" i="17"/>
  <c r="B57" i="17"/>
  <c r="F56" i="17"/>
  <c r="B56" i="17"/>
  <c r="B55" i="17"/>
  <c r="B54" i="17"/>
  <c r="B52" i="17"/>
  <c r="B51" i="17"/>
  <c r="B50" i="17"/>
  <c r="B49" i="17"/>
  <c r="B48" i="17"/>
  <c r="B46" i="17"/>
  <c r="B45" i="17"/>
  <c r="B43" i="17"/>
  <c r="F42" i="17"/>
  <c r="B42" i="17"/>
  <c r="B41" i="17"/>
  <c r="B40" i="17"/>
  <c r="B39" i="17"/>
  <c r="B37" i="17"/>
  <c r="B35" i="17"/>
  <c r="B34" i="17"/>
  <c r="F61" i="17"/>
  <c r="B32" i="17"/>
  <c r="B31" i="17"/>
  <c r="B61" i="17" s="1"/>
  <c r="G28" i="17"/>
  <c r="G63" i="17" s="1"/>
  <c r="E28" i="17"/>
  <c r="E63" i="17" s="1"/>
  <c r="D28" i="17"/>
  <c r="D63" i="17" s="1"/>
  <c r="C28" i="17"/>
  <c r="C63" i="17" s="1"/>
  <c r="B27" i="17"/>
  <c r="B26" i="17"/>
  <c r="B25" i="17"/>
  <c r="B23" i="17"/>
  <c r="B21" i="17"/>
  <c r="B20" i="17"/>
  <c r="F19" i="17"/>
  <c r="B19" i="17"/>
  <c r="B18" i="17"/>
  <c r="B16" i="17"/>
  <c r="B15" i="17"/>
  <c r="B14" i="17"/>
  <c r="F13" i="17"/>
  <c r="F28" i="17" s="1"/>
  <c r="F63" i="17" s="1"/>
  <c r="B13" i="17"/>
  <c r="B12" i="17"/>
  <c r="B11" i="17"/>
  <c r="B10" i="17"/>
  <c r="B9" i="17"/>
  <c r="B8" i="17"/>
  <c r="B7" i="17"/>
  <c r="B28" i="17" s="1"/>
  <c r="B63" i="17" s="1"/>
  <c r="B66" i="17" s="1"/>
  <c r="F60" i="16"/>
  <c r="F50" i="16"/>
  <c r="F49" i="16"/>
  <c r="F43" i="16"/>
  <c r="F42" i="16"/>
  <c r="F41" i="16"/>
  <c r="F35" i="16"/>
  <c r="F32" i="16"/>
  <c r="F26" i="16"/>
  <c r="F20" i="16"/>
  <c r="F19" i="16"/>
  <c r="F14" i="16"/>
  <c r="F13" i="16"/>
  <c r="F18" i="16"/>
  <c r="C81" i="16"/>
  <c r="B81" i="16"/>
  <c r="G79" i="16"/>
  <c r="F77" i="16"/>
  <c r="F75" i="16"/>
  <c r="G75" i="16" s="1"/>
  <c r="G81" i="16" s="1"/>
  <c r="F74" i="16"/>
  <c r="F73" i="16"/>
  <c r="F81" i="16" s="1"/>
  <c r="C65" i="16"/>
  <c r="G61" i="16"/>
  <c r="E61" i="16"/>
  <c r="D61" i="16"/>
  <c r="B60" i="16"/>
  <c r="C59" i="16"/>
  <c r="C61" i="16" s="1"/>
  <c r="B59" i="16"/>
  <c r="B58" i="16"/>
  <c r="F57" i="16"/>
  <c r="B57" i="16"/>
  <c r="F56" i="16"/>
  <c r="B56" i="16"/>
  <c r="B55" i="16"/>
  <c r="B54" i="16"/>
  <c r="B52" i="16"/>
  <c r="B51" i="16"/>
  <c r="B50" i="16"/>
  <c r="B49" i="16"/>
  <c r="B48" i="16"/>
  <c r="B46" i="16"/>
  <c r="B45" i="16"/>
  <c r="B43" i="16"/>
  <c r="B42" i="16"/>
  <c r="B41" i="16"/>
  <c r="B40" i="16"/>
  <c r="B39" i="16"/>
  <c r="B37" i="16"/>
  <c r="B35" i="16"/>
  <c r="B34" i="16"/>
  <c r="F61" i="16"/>
  <c r="B32" i="16"/>
  <c r="B31" i="16"/>
  <c r="B61" i="16" s="1"/>
  <c r="G28" i="16"/>
  <c r="G63" i="16" s="1"/>
  <c r="E28" i="16"/>
  <c r="E63" i="16" s="1"/>
  <c r="D28" i="16"/>
  <c r="D63" i="16" s="1"/>
  <c r="C28" i="16"/>
  <c r="C63" i="16" s="1"/>
  <c r="B27" i="16"/>
  <c r="B26" i="16"/>
  <c r="B25" i="16"/>
  <c r="B23" i="16"/>
  <c r="B21" i="16"/>
  <c r="B20" i="16"/>
  <c r="B19" i="16"/>
  <c r="F28" i="16"/>
  <c r="F63" i="16" s="1"/>
  <c r="B18" i="16"/>
  <c r="B16" i="16"/>
  <c r="B15" i="16"/>
  <c r="B14" i="16"/>
  <c r="B13" i="16"/>
  <c r="B12" i="16"/>
  <c r="B11" i="16"/>
  <c r="B10" i="16"/>
  <c r="B9" i="16"/>
  <c r="B8" i="16"/>
  <c r="B7" i="16"/>
  <c r="B28" i="16" s="1"/>
  <c r="B63" i="16" s="1"/>
  <c r="B66" i="16" s="1"/>
  <c r="F76" i="13"/>
  <c r="F57" i="15"/>
  <c r="F56" i="15"/>
  <c r="F49" i="15"/>
  <c r="F32" i="15"/>
  <c r="F26" i="15"/>
  <c r="F20" i="15"/>
  <c r="F19" i="15"/>
  <c r="F18" i="15"/>
  <c r="C81" i="15"/>
  <c r="B81" i="15"/>
  <c r="G79" i="15"/>
  <c r="F77" i="15"/>
  <c r="F75" i="15"/>
  <c r="G75" i="15" s="1"/>
  <c r="F74" i="15"/>
  <c r="F73" i="15"/>
  <c r="C65" i="15"/>
  <c r="G61" i="15"/>
  <c r="E61" i="15"/>
  <c r="D61" i="15"/>
  <c r="B60" i="15"/>
  <c r="C59" i="15"/>
  <c r="C61" i="15" s="1"/>
  <c r="B59" i="15"/>
  <c r="B58" i="15"/>
  <c r="B57" i="15"/>
  <c r="B56" i="15"/>
  <c r="B55" i="15"/>
  <c r="B54" i="15"/>
  <c r="B52" i="15"/>
  <c r="B51" i="15"/>
  <c r="B50" i="15"/>
  <c r="B49" i="15"/>
  <c r="B48" i="15"/>
  <c r="B46" i="15"/>
  <c r="B45" i="15"/>
  <c r="B43" i="15"/>
  <c r="B42" i="15"/>
  <c r="B41" i="15"/>
  <c r="B40" i="15"/>
  <c r="B39" i="15"/>
  <c r="B37" i="15"/>
  <c r="B35" i="15"/>
  <c r="B34" i="15"/>
  <c r="F61" i="15"/>
  <c r="B32" i="15"/>
  <c r="B31" i="15"/>
  <c r="B61" i="15" s="1"/>
  <c r="G28" i="15"/>
  <c r="G63" i="15" s="1"/>
  <c r="E28" i="15"/>
  <c r="E63" i="15" s="1"/>
  <c r="D28" i="15"/>
  <c r="D63" i="15" s="1"/>
  <c r="C28" i="15"/>
  <c r="C63" i="15" s="1"/>
  <c r="B27" i="15"/>
  <c r="B26" i="15"/>
  <c r="B25" i="15"/>
  <c r="B23" i="15"/>
  <c r="B21" i="15"/>
  <c r="B20" i="15"/>
  <c r="B19" i="15"/>
  <c r="F28" i="15"/>
  <c r="F63" i="15" s="1"/>
  <c r="B18" i="15"/>
  <c r="B16" i="15"/>
  <c r="B15" i="15"/>
  <c r="B14" i="15"/>
  <c r="B13" i="15"/>
  <c r="B12" i="15"/>
  <c r="B11" i="15"/>
  <c r="B10" i="15"/>
  <c r="B9" i="15"/>
  <c r="B8" i="15"/>
  <c r="B7" i="15"/>
  <c r="B28" i="15" s="1"/>
  <c r="B63" i="15" s="1"/>
  <c r="B66" i="15" s="1"/>
  <c r="F56" i="14"/>
  <c r="F49" i="14"/>
  <c r="F32" i="14"/>
  <c r="F26" i="14"/>
  <c r="F20" i="14"/>
  <c r="F18" i="14"/>
  <c r="D28" i="14"/>
  <c r="E28" i="14"/>
  <c r="F28" i="14"/>
  <c r="F28" i="13"/>
  <c r="E28" i="13"/>
  <c r="C81" i="14"/>
  <c r="B81" i="14"/>
  <c r="G79" i="14"/>
  <c r="F77" i="14"/>
  <c r="F76" i="14"/>
  <c r="F75" i="14"/>
  <c r="G75" i="14" s="1"/>
  <c r="F74" i="14"/>
  <c r="F73" i="14"/>
  <c r="C65" i="14"/>
  <c r="G61" i="14"/>
  <c r="F61" i="14"/>
  <c r="F63" i="14" s="1"/>
  <c r="E61" i="14"/>
  <c r="E63" i="14" s="1"/>
  <c r="D61" i="14"/>
  <c r="D63" i="14" s="1"/>
  <c r="B60" i="14"/>
  <c r="C59" i="14"/>
  <c r="C61" i="14" s="1"/>
  <c r="B59" i="14"/>
  <c r="B58" i="14"/>
  <c r="B57" i="14"/>
  <c r="B56" i="14"/>
  <c r="B55" i="14"/>
  <c r="B54" i="14"/>
  <c r="B52" i="14"/>
  <c r="B51" i="14"/>
  <c r="B50" i="14"/>
  <c r="B49" i="14"/>
  <c r="B48" i="14"/>
  <c r="B46" i="14"/>
  <c r="B45" i="14"/>
  <c r="B43" i="14"/>
  <c r="B42" i="14"/>
  <c r="B41" i="14"/>
  <c r="B40" i="14"/>
  <c r="B39" i="14"/>
  <c r="B37" i="14"/>
  <c r="B35" i="14"/>
  <c r="B34" i="14"/>
  <c r="B32" i="14"/>
  <c r="B31" i="14"/>
  <c r="B61" i="14" s="1"/>
  <c r="G28" i="14"/>
  <c r="G63" i="14" s="1"/>
  <c r="C28" i="14"/>
  <c r="C63" i="14" s="1"/>
  <c r="B27" i="14"/>
  <c r="B26" i="14"/>
  <c r="B25" i="14"/>
  <c r="B23" i="14"/>
  <c r="B21" i="14"/>
  <c r="B20" i="14"/>
  <c r="B19" i="14"/>
  <c r="B18" i="14"/>
  <c r="B16" i="14"/>
  <c r="B15" i="14"/>
  <c r="B14" i="14"/>
  <c r="B13" i="14"/>
  <c r="B12" i="14"/>
  <c r="B11" i="14"/>
  <c r="B10" i="14"/>
  <c r="B9" i="14"/>
  <c r="B8" i="14"/>
  <c r="B7" i="14"/>
  <c r="B28" i="14" s="1"/>
  <c r="B63" i="14" s="1"/>
  <c r="B66" i="14" s="1"/>
  <c r="C59" i="13"/>
  <c r="C61" i="13" s="1"/>
  <c r="C28" i="13"/>
  <c r="C63" i="13" s="1"/>
  <c r="B60" i="13"/>
  <c r="B59" i="13"/>
  <c r="B58" i="13"/>
  <c r="B57" i="13"/>
  <c r="B56" i="13"/>
  <c r="B55" i="13"/>
  <c r="B54" i="13"/>
  <c r="B52" i="13"/>
  <c r="B51" i="13"/>
  <c r="B50" i="13"/>
  <c r="B49" i="13"/>
  <c r="B48" i="13"/>
  <c r="B46" i="13"/>
  <c r="B45" i="13"/>
  <c r="B43" i="13"/>
  <c r="B42" i="13"/>
  <c r="B41" i="13"/>
  <c r="B40" i="13"/>
  <c r="B39" i="13"/>
  <c r="B37" i="13"/>
  <c r="B35" i="13"/>
  <c r="B34" i="13"/>
  <c r="B32" i="13"/>
  <c r="B31" i="13"/>
  <c r="B61" i="13" s="1"/>
  <c r="B27" i="13"/>
  <c r="B26" i="13"/>
  <c r="B25" i="13"/>
  <c r="B23" i="13"/>
  <c r="B21" i="13"/>
  <c r="B20" i="13"/>
  <c r="B19" i="13"/>
  <c r="B18" i="13"/>
  <c r="B16" i="13"/>
  <c r="B15" i="13"/>
  <c r="B14" i="13"/>
  <c r="B13" i="13"/>
  <c r="B12" i="13"/>
  <c r="B11" i="13"/>
  <c r="B10" i="13"/>
  <c r="B9" i="13"/>
  <c r="B8" i="13"/>
  <c r="B7" i="13"/>
  <c r="B28" i="13" s="1"/>
  <c r="B63" i="13" s="1"/>
  <c r="B66" i="13"/>
  <c r="F71" i="13"/>
  <c r="C80" i="13"/>
  <c r="B80" i="13"/>
  <c r="G79" i="13"/>
  <c r="F77" i="13"/>
  <c r="F75" i="13"/>
  <c r="G75" i="13" s="1"/>
  <c r="F74" i="13"/>
  <c r="F73" i="13"/>
  <c r="C65" i="13"/>
  <c r="E61" i="13"/>
  <c r="D61" i="13"/>
  <c r="G61" i="13"/>
  <c r="F61" i="13"/>
  <c r="G28" i="13"/>
  <c r="G63" i="13" s="1"/>
  <c r="E63" i="13"/>
  <c r="D63" i="13"/>
  <c r="F63" i="13"/>
  <c r="C83" i="21" l="1"/>
  <c r="F66" i="21"/>
  <c r="C67" i="21"/>
  <c r="B83" i="21"/>
  <c r="B84" i="21" s="1"/>
  <c r="C84" i="21"/>
  <c r="C82" i="20"/>
  <c r="F65" i="20"/>
  <c r="C66" i="20"/>
  <c r="B82" i="20"/>
  <c r="B83" i="20" s="1"/>
  <c r="C83" i="20"/>
  <c r="C82" i="19"/>
  <c r="F65" i="19"/>
  <c r="C66" i="19"/>
  <c r="B82" i="19"/>
  <c r="B83" i="19" s="1"/>
  <c r="C83" i="19"/>
  <c r="C82" i="18"/>
  <c r="F65" i="18"/>
  <c r="C66" i="18"/>
  <c r="B82" i="18"/>
  <c r="B83" i="18" s="1"/>
  <c r="C83" i="18"/>
  <c r="C82" i="17"/>
  <c r="F65" i="17"/>
  <c r="C66" i="17"/>
  <c r="B82" i="17"/>
  <c r="B83" i="17" s="1"/>
  <c r="C83" i="17"/>
  <c r="C82" i="16"/>
  <c r="F65" i="16"/>
  <c r="C66" i="16"/>
  <c r="B82" i="16"/>
  <c r="B83" i="16" s="1"/>
  <c r="C83" i="16"/>
  <c r="C82" i="15"/>
  <c r="F65" i="15"/>
  <c r="C66" i="15"/>
  <c r="F81" i="15"/>
  <c r="G81" i="15"/>
  <c r="B82" i="15"/>
  <c r="B83" i="15" s="1"/>
  <c r="C83" i="15"/>
  <c r="C82" i="14"/>
  <c r="F65" i="14"/>
  <c r="C66" i="14"/>
  <c r="F81" i="14"/>
  <c r="G81" i="14"/>
  <c r="B82" i="14"/>
  <c r="B83" i="14" s="1"/>
  <c r="C83" i="14"/>
  <c r="C81" i="13"/>
  <c r="F65" i="13"/>
  <c r="C66" i="13"/>
  <c r="F80" i="13"/>
  <c r="G80" i="13"/>
  <c r="B81" i="13"/>
  <c r="B82" i="13" s="1"/>
  <c r="C82" i="13"/>
  <c r="F83" i="21" l="1"/>
  <c r="F84" i="21" s="1"/>
  <c r="F67" i="21"/>
  <c r="G66" i="21"/>
  <c r="G67" i="21" s="1"/>
  <c r="G83" i="21" s="1"/>
  <c r="G84" i="21" s="1"/>
  <c r="F82" i="20"/>
  <c r="F83" i="20" s="1"/>
  <c r="F66" i="20"/>
  <c r="G65" i="20"/>
  <c r="G66" i="20" s="1"/>
  <c r="G82" i="20" s="1"/>
  <c r="G83" i="20" s="1"/>
  <c r="F82" i="19"/>
  <c r="F83" i="19" s="1"/>
  <c r="F66" i="19"/>
  <c r="G65" i="19"/>
  <c r="G66" i="19" s="1"/>
  <c r="G82" i="19" s="1"/>
  <c r="G83" i="19" s="1"/>
  <c r="F82" i="18"/>
  <c r="F83" i="18" s="1"/>
  <c r="F66" i="18"/>
  <c r="G65" i="18"/>
  <c r="G66" i="18" s="1"/>
  <c r="G82" i="18" s="1"/>
  <c r="G83" i="18" s="1"/>
  <c r="F82" i="17"/>
  <c r="F83" i="17" s="1"/>
  <c r="F66" i="17"/>
  <c r="G65" i="17"/>
  <c r="G66" i="17" s="1"/>
  <c r="G82" i="17" s="1"/>
  <c r="G83" i="17" s="1"/>
  <c r="F82" i="16"/>
  <c r="F83" i="16" s="1"/>
  <c r="F66" i="16"/>
  <c r="G65" i="16"/>
  <c r="G66" i="16" s="1"/>
  <c r="G82" i="16" s="1"/>
  <c r="G83" i="16" s="1"/>
  <c r="F82" i="15"/>
  <c r="F83" i="15" s="1"/>
  <c r="F66" i="15"/>
  <c r="G65" i="15"/>
  <c r="G66" i="15" s="1"/>
  <c r="G82" i="15" s="1"/>
  <c r="G83" i="15" s="1"/>
  <c r="F82" i="14"/>
  <c r="F83" i="14" s="1"/>
  <c r="F66" i="14"/>
  <c r="G65" i="14"/>
  <c r="G66" i="14" s="1"/>
  <c r="G82" i="14" s="1"/>
  <c r="G83" i="14" s="1"/>
  <c r="F81" i="13"/>
  <c r="F82" i="13" s="1"/>
  <c r="F66" i="13"/>
  <c r="G65" i="13"/>
  <c r="G66" i="13" s="1"/>
  <c r="G81" i="13" s="1"/>
  <c r="G82" i="13" s="1"/>
</calcChain>
</file>

<file path=xl/sharedStrings.xml><?xml version="1.0" encoding="utf-8"?>
<sst xmlns="http://schemas.openxmlformats.org/spreadsheetml/2006/main" count="838" uniqueCount="98">
  <si>
    <t>Valle Verde Elementary School PTA 2023/2024 Budget &amp; YTD Results</t>
  </si>
  <si>
    <t>2022/2023</t>
  </si>
  <si>
    <t>2023/2024</t>
  </si>
  <si>
    <t>YTD Actual</t>
  </si>
  <si>
    <t>Budget</t>
  </si>
  <si>
    <t>Previous</t>
  </si>
  <si>
    <t>Current</t>
  </si>
  <si>
    <t>As of 6/30/23</t>
  </si>
  <si>
    <t>July</t>
  </si>
  <si>
    <t>As of 6/30/24</t>
  </si>
  <si>
    <t>Income:</t>
  </si>
  <si>
    <t>Orchards Art Show Fund</t>
  </si>
  <si>
    <t>Book Fair</t>
  </si>
  <si>
    <t>Box Tops</t>
  </si>
  <si>
    <t>Carnival</t>
  </si>
  <si>
    <t>Amazon Smile</t>
  </si>
  <si>
    <t>Dine Around</t>
  </si>
  <si>
    <t>DREAM Committee</t>
  </si>
  <si>
    <t>Fun Run</t>
  </si>
  <si>
    <t>Shop &amp; Give</t>
  </si>
  <si>
    <t>Sponsorship</t>
  </si>
  <si>
    <t>Fund-A-Need</t>
  </si>
  <si>
    <t>Interest Income</t>
  </si>
  <si>
    <t>Misc. Income</t>
  </si>
  <si>
    <t>PTA Dues</t>
  </si>
  <si>
    <t>Spring Event</t>
  </si>
  <si>
    <t>Spring Fling</t>
  </si>
  <si>
    <t>Spirit Wear</t>
  </si>
  <si>
    <t>Steam</t>
  </si>
  <si>
    <t>5th Grade Event</t>
  </si>
  <si>
    <t>Viking Fund</t>
  </si>
  <si>
    <t>Yearbook</t>
  </si>
  <si>
    <t>Total Income:</t>
  </si>
  <si>
    <t>Expenditures:</t>
  </si>
  <si>
    <t>Bank Charges</t>
  </si>
  <si>
    <t>Class Teacher Allocation</t>
  </si>
  <si>
    <t xml:space="preserve">Credit Card Processing </t>
  </si>
  <si>
    <t>Crossing Guard</t>
  </si>
  <si>
    <t>Custodian Appreciation Week</t>
  </si>
  <si>
    <t>Emergency Backpacks</t>
  </si>
  <si>
    <t>Family Events/STEAM</t>
  </si>
  <si>
    <t>Hospitality</t>
  </si>
  <si>
    <t>Instructional Assistant</t>
  </si>
  <si>
    <t>Insurance</t>
  </si>
  <si>
    <t>Campus Beautificaton/Landscaping</t>
  </si>
  <si>
    <t>Life Lab</t>
  </si>
  <si>
    <t>Misc. Expense</t>
  </si>
  <si>
    <t>Principal's Fund</t>
  </si>
  <si>
    <t>PTA Functional</t>
  </si>
  <si>
    <t>Reading Specialist</t>
  </si>
  <si>
    <t>School Play</t>
  </si>
  <si>
    <t>Service Awards</t>
  </si>
  <si>
    <t>Teacher Grant Expense</t>
  </si>
  <si>
    <t xml:space="preserve">Technology </t>
  </si>
  <si>
    <t>Technology Software</t>
  </si>
  <si>
    <t>Website</t>
  </si>
  <si>
    <t>Graduating Class</t>
  </si>
  <si>
    <t>Fund a Need</t>
  </si>
  <si>
    <t>Total Expenses:</t>
  </si>
  <si>
    <t>Total Income Less Expenses:</t>
  </si>
  <si>
    <t>Beginning Cash</t>
  </si>
  <si>
    <t>Ending Cash</t>
  </si>
  <si>
    <t>Reserves (Restricted Cash)</t>
  </si>
  <si>
    <t>Beginning</t>
  </si>
  <si>
    <t>Ending</t>
  </si>
  <si>
    <t>Graduating Class 2022</t>
  </si>
  <si>
    <t>Graduating Class 2023</t>
  </si>
  <si>
    <t>Graduating Class 2024</t>
  </si>
  <si>
    <t>Graduating Class 2025</t>
  </si>
  <si>
    <t>Art Docent Program</t>
  </si>
  <si>
    <t>Sandy Himel Grant</t>
  </si>
  <si>
    <t>School Play Reserve</t>
  </si>
  <si>
    <t>Fund-A-Need: STEAM</t>
  </si>
  <si>
    <t>Fund-A-Need: Most Wanted</t>
  </si>
  <si>
    <t>Fund-A-Need: 2023</t>
  </si>
  <si>
    <t>Education Fund</t>
  </si>
  <si>
    <t>Check</t>
  </si>
  <si>
    <t>Restricted Cash</t>
  </si>
  <si>
    <t>Unrestricted Cash</t>
  </si>
  <si>
    <t>Total Cash</t>
  </si>
  <si>
    <t>As of 7/31/23</t>
  </si>
  <si>
    <t>August</t>
  </si>
  <si>
    <t>As of 8/31/23</t>
  </si>
  <si>
    <t>September</t>
  </si>
  <si>
    <t>As of 9/30/23</t>
  </si>
  <si>
    <t>Fund a Need - 2023</t>
  </si>
  <si>
    <t>October</t>
  </si>
  <si>
    <t>As of 10/31/23</t>
  </si>
  <si>
    <t>November</t>
  </si>
  <si>
    <t>As of 11/30/23</t>
  </si>
  <si>
    <t>Campus Beautification/Landscaping</t>
  </si>
  <si>
    <t>December</t>
  </si>
  <si>
    <t>As of 12/31/2023</t>
  </si>
  <si>
    <t>January</t>
  </si>
  <si>
    <t>As of 01/31/24</t>
  </si>
  <si>
    <t>February</t>
  </si>
  <si>
    <t>As of 02/29/24</t>
  </si>
  <si>
    <t>PE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</si>
</sst>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(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/>
    <xf numFmtId="5" fontId="0" fillId="0" borderId="10" xfId="0" applyNumberFormat="1" applyBorder="1"/>
    <xf numFmtId="5" fontId="0" fillId="0" borderId="11" xfId="0" applyNumberFormat="1" applyBorder="1"/>
    <xf numFmtId="5" fontId="0" fillId="0" borderId="0" xfId="0" applyNumberFormat="1"/>
    <xf numFmtId="0" fontId="0" fillId="0" borderId="11" xfId="0" applyBorder="1"/>
    <xf numFmtId="5" fontId="5" fillId="0" borderId="0" xfId="0" applyNumberFormat="1" applyFont="1" applyAlignment="1">
      <alignment horizontal="right"/>
    </xf>
    <xf numFmtId="38" fontId="0" fillId="0" borderId="10" xfId="0" applyNumberFormat="1" applyBorder="1"/>
    <xf numFmtId="38" fontId="6" fillId="0" borderId="11" xfId="0" applyNumberFormat="1" applyFont="1" applyBorder="1" applyAlignment="1">
      <alignment horizontal="right"/>
    </xf>
    <xf numFmtId="38" fontId="0" fillId="0" borderId="0" xfId="0" applyNumberFormat="1"/>
    <xf numFmtId="0" fontId="7" fillId="0" borderId="0" xfId="0" applyFont="1" applyAlignment="1">
      <alignment horizontal="right"/>
    </xf>
    <xf numFmtId="5" fontId="8" fillId="0" borderId="0" xfId="0" applyNumberFormat="1" applyFont="1" applyAlignment="1">
      <alignment horizontal="left"/>
    </xf>
    <xf numFmtId="38" fontId="2" fillId="0" borderId="12" xfId="0" applyNumberFormat="1" applyFont="1" applyBorder="1"/>
    <xf numFmtId="38" fontId="2" fillId="0" borderId="13" xfId="0" applyNumberFormat="1" applyFont="1" applyBorder="1"/>
    <xf numFmtId="38" fontId="0" fillId="0" borderId="11" xfId="0" applyNumberFormat="1" applyBorder="1"/>
    <xf numFmtId="38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8" fontId="2" fillId="0" borderId="17" xfId="0" applyNumberFormat="1" applyFont="1" applyBorder="1"/>
    <xf numFmtId="38" fontId="9" fillId="0" borderId="16" xfId="0" applyNumberFormat="1" applyFont="1" applyBorder="1"/>
    <xf numFmtId="0" fontId="2" fillId="0" borderId="0" xfId="0" applyFont="1" applyAlignment="1">
      <alignment horizontal="left"/>
    </xf>
    <xf numFmtId="38" fontId="0" fillId="0" borderId="18" xfId="0" applyNumberFormat="1" applyBorder="1"/>
    <xf numFmtId="38" fontId="0" fillId="0" borderId="19" xfId="0" applyNumberFormat="1" applyBorder="1"/>
    <xf numFmtId="38" fontId="0" fillId="0" borderId="20" xfId="0" applyNumberFormat="1" applyBorder="1"/>
    <xf numFmtId="38" fontId="0" fillId="0" borderId="21" xfId="0" applyNumberFormat="1" applyBorder="1"/>
    <xf numFmtId="38" fontId="0" fillId="0" borderId="22" xfId="0" applyNumberFormat="1" applyBorder="1"/>
    <xf numFmtId="38" fontId="0" fillId="0" borderId="9" xfId="0" applyNumberFormat="1" applyBorder="1"/>
    <xf numFmtId="38" fontId="0" fillId="0" borderId="8" xfId="0" applyNumberFormat="1" applyBorder="1"/>
    <xf numFmtId="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8" fontId="0" fillId="0" borderId="0" xfId="1" applyNumberFormat="1" applyFont="1" applyFill="1"/>
    <xf numFmtId="0" fontId="0" fillId="0" borderId="23" xfId="0" applyBorder="1"/>
    <xf numFmtId="0" fontId="10" fillId="0" borderId="0" xfId="0" applyFont="1" applyAlignment="1">
      <alignment horizontal="right"/>
    </xf>
    <xf numFmtId="38" fontId="10" fillId="0" borderId="0" xfId="0" applyNumberFormat="1" applyFont="1"/>
    <xf numFmtId="0" fontId="10" fillId="0" borderId="0" xfId="0" applyFont="1"/>
    <xf numFmtId="38" fontId="0" fillId="0" borderId="0" xfId="0" applyNumberFormat="1" applyFill="1"/>
    <xf numFmtId="38" fontId="6" fillId="0" borderId="11" xfId="0" applyNumberFormat="1" applyFont="1" applyFill="1" applyBorder="1" applyAlignment="1">
      <alignment horizontal="right"/>
    </xf>
    <xf numFmtId="38" fontId="0" fillId="0" borderId="15" xfId="0" applyNumberFormat="1" applyFill="1" applyBorder="1"/>
    <xf numFmtId="38" fontId="6" fillId="0" borderId="14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24" xfId="0" applyNumberFormat="1" applyBorder="1"/>
    <xf numFmtId="0" fontId="0" fillId="0" borderId="24" xfId="0" applyBorder="1"/>
    <xf numFmtId="38" fontId="0" fillId="0" borderId="25" xfId="0" applyNumberFormat="1" applyFill="1" applyBorder="1"/>
    <xf numFmtId="38" fontId="0" fillId="0" borderId="25" xfId="0" applyNumberFormat="1" applyBorder="1"/>
    <xf numFmtId="38" fontId="2" fillId="0" borderId="26" xfId="0" applyNumberFormat="1" applyFont="1" applyBorder="1"/>
    <xf numFmtId="38" fontId="0" fillId="0" borderId="27" xfId="0" applyNumberFormat="1" applyFill="1" applyBorder="1"/>
    <xf numFmtId="38" fontId="2" fillId="0" borderId="28" xfId="0" applyNumberFormat="1" applyFont="1" applyBorder="1"/>
    <xf numFmtId="5" fontId="0" fillId="0" borderId="29" xfId="0" applyNumberFormat="1" applyBorder="1"/>
    <xf numFmtId="5" fontId="0" fillId="0" borderId="30" xfId="0" applyNumberFormat="1" applyBorder="1"/>
    <xf numFmtId="38" fontId="9" fillId="0" borderId="17" xfId="0" applyNumberFormat="1" applyFont="1" applyBorder="1"/>
    <xf numFmtId="38" fontId="2" fillId="0" borderId="32" xfId="0" applyNumberFormat="1" applyFont="1" applyBorder="1"/>
    <xf numFmtId="0" fontId="0" fillId="0" borderId="31" xfId="0" applyBorder="1"/>
    <xf numFmtId="38" fontId="0" fillId="0" borderId="33" xfId="0" applyNumberFormat="1" applyFont="1" applyBorder="1"/>
    <xf numFmtId="38" fontId="0" fillId="2" borderId="25" xfId="0" applyNumberFormat="1" applyFill="1" applyBorder="1"/>
    <xf numFmtId="38" fontId="6" fillId="2" borderId="11" xfId="0" applyNumberFormat="1" applyFont="1" applyFill="1" applyBorder="1" applyAlignment="1">
      <alignment horizontal="right"/>
    </xf>
    <xf numFmtId="38" fontId="6" fillId="2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21C93-5381-4003-AB2F-09F9F36508F0}">
  <dimension ref="A1"/>
  <sheetViews>
    <sheetView workbookViewId="0">
      <selection activeCell="W18" sqref="W18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F9879-EB80-40AB-A0D8-E0BB51D2571A}">
  <sheetPr>
    <pageSetUpPr fitToPage="1"/>
  </sheetPr>
  <dimension ref="A1:I84"/>
  <sheetViews>
    <sheetView tabSelected="1" topLeftCell="A38" workbookViewId="0">
      <selection activeCell="F61" sqref="F6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93</v>
      </c>
      <c r="E5" s="9" t="s">
        <v>95</v>
      </c>
      <c r="F5" s="9" t="s">
        <v>96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>
        <v>1973.94</v>
      </c>
      <c r="E8" s="19"/>
      <c r="F8" s="19">
        <f>1974</f>
        <v>1974</v>
      </c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>
        <v>48.2</v>
      </c>
      <c r="E9" s="19"/>
      <c r="F9" s="19">
        <f>48</f>
        <v>48</v>
      </c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118.5</v>
      </c>
      <c r="E12" s="19">
        <v>313.5</v>
      </c>
      <c r="F12" s="19">
        <f>322+349+491+119+314</f>
        <v>1595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>
        <f>100+200+57619+100</f>
        <v>58019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3.73</v>
      </c>
      <c r="E18" s="19">
        <v>3.49</v>
      </c>
      <c r="F18" s="19">
        <f>4+4+4+4+4+4+4+3</f>
        <v>31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25.5</v>
      </c>
      <c r="E20" s="19"/>
      <c r="F20" s="46">
        <f>102+536+306+13+26</f>
        <v>983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>
        <v>240</v>
      </c>
      <c r="E21" s="19"/>
      <c r="F21" s="46">
        <f>240</f>
        <v>240</v>
      </c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>
        <v>21673</v>
      </c>
      <c r="F22" s="19">
        <f>21673</f>
        <v>21673</v>
      </c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>
        <v>327.2</v>
      </c>
      <c r="E23" s="19"/>
      <c r="F23" s="46">
        <f>1472+327</f>
        <v>1799</v>
      </c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6271.64</v>
      </c>
      <c r="E26" s="19">
        <v>645</v>
      </c>
      <c r="F26" s="19">
        <f>465+10765+4810+2313+422+10975+6272+645</f>
        <v>36667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9008.7100000000009</v>
      </c>
      <c r="E28" s="23">
        <f>SUM(E6:E27)</f>
        <v>22634.99</v>
      </c>
      <c r="F28" s="23">
        <f>SUM(F6:F27)</f>
        <v>144538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>
        <f>-956-414-481</f>
        <v>-1851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-48.9</v>
      </c>
      <c r="E32" s="19">
        <v>-848.1</v>
      </c>
      <c r="F32" s="19">
        <f>-15-343-213-289-5-49-848-120</f>
        <v>-1882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>
        <f>-8828-497</f>
        <v>-9325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-1790</v>
      </c>
      <c r="E41" s="19">
        <v>-1977.88</v>
      </c>
      <c r="F41" s="19">
        <f>-1227-3000-1790-1978</f>
        <v>-7995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>
        <v>-14539.21</v>
      </c>
      <c r="F43" s="19">
        <f>-17634-10903-14539</f>
        <v>-43076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>
        <v>-150</v>
      </c>
      <c r="E44" s="19"/>
      <c r="F44" s="19">
        <f>-282-150</f>
        <v>-432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/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>
        <f>-8280</f>
        <v>-8280</v>
      </c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97</v>
      </c>
      <c r="B48" s="54">
        <v>0</v>
      </c>
      <c r="C48" s="18">
        <v>0</v>
      </c>
      <c r="D48" s="19"/>
      <c r="E48" s="19"/>
      <c r="F48" s="19"/>
      <c r="G48" s="18">
        <v>-1500</v>
      </c>
    </row>
    <row r="49" spans="1:9" ht="15.75">
      <c r="A49" s="16" t="s">
        <v>47</v>
      </c>
      <c r="B49" s="54">
        <f>-704</f>
        <v>-704</v>
      </c>
      <c r="C49" s="18">
        <v>-750</v>
      </c>
      <c r="D49" s="19">
        <v>-528.73</v>
      </c>
      <c r="E49" s="19"/>
      <c r="F49" s="19"/>
      <c r="G49" s="18">
        <v>-1000</v>
      </c>
    </row>
    <row r="50" spans="1:9" ht="15.75">
      <c r="A50" s="16" t="s">
        <v>48</v>
      </c>
      <c r="B50" s="54">
        <f>-14.99+-14.99+-14.99+-379+-15+-15-990-16-16-16-365</f>
        <v>-1856.97</v>
      </c>
      <c r="C50" s="18">
        <v>-1500</v>
      </c>
      <c r="D50" s="19">
        <v>-135.87</v>
      </c>
      <c r="E50" s="19">
        <v>-15.99</v>
      </c>
      <c r="F50" s="19">
        <f>-16-16-16-436-16-136-16-56</f>
        <v>-708</v>
      </c>
      <c r="G50" s="18">
        <v>-2000</v>
      </c>
    </row>
    <row r="51" spans="1:9" ht="15.75">
      <c r="A51" s="16" t="s">
        <v>49</v>
      </c>
      <c r="B51" s="54">
        <f>-14572+-9657-14486</f>
        <v>-38715</v>
      </c>
      <c r="C51" s="18">
        <v>-60000</v>
      </c>
      <c r="D51" s="19"/>
      <c r="E51" s="19">
        <v>-14158.98</v>
      </c>
      <c r="F51" s="19">
        <f>-14684-8860-14159</f>
        <v>-37703</v>
      </c>
      <c r="G51" s="18">
        <v>-60000</v>
      </c>
    </row>
    <row r="52" spans="1:9" ht="15.75">
      <c r="A52" s="16" t="s">
        <v>50</v>
      </c>
      <c r="B52" s="54">
        <f>-720</f>
        <v>-720</v>
      </c>
      <c r="C52" s="18">
        <v>0</v>
      </c>
      <c r="D52" s="19"/>
      <c r="E52" s="19"/>
      <c r="F52" s="19">
        <f>-101</f>
        <v>-101</v>
      </c>
      <c r="G52" s="18">
        <v>-800</v>
      </c>
    </row>
    <row r="53" spans="1:9" ht="15.75">
      <c r="A53" s="16" t="s">
        <v>51</v>
      </c>
      <c r="B53" s="54">
        <f>-438</f>
        <v>-438</v>
      </c>
      <c r="C53" s="18">
        <v>-500</v>
      </c>
      <c r="D53" s="19"/>
      <c r="E53" s="19"/>
      <c r="F53" s="19"/>
      <c r="G53" s="18">
        <v>-500</v>
      </c>
    </row>
    <row r="54" spans="1:9" ht="15.75">
      <c r="A54" s="16" t="s">
        <v>52</v>
      </c>
      <c r="B54" s="54"/>
      <c r="C54" s="18">
        <v>-2000</v>
      </c>
      <c r="D54" s="19"/>
      <c r="E54" s="19"/>
      <c r="F54" s="19">
        <f>-660</f>
        <v>-660</v>
      </c>
      <c r="G54" s="18">
        <v>-2000</v>
      </c>
    </row>
    <row r="55" spans="1:9" ht="15.75">
      <c r="A55" s="16" t="s">
        <v>53</v>
      </c>
      <c r="B55" s="53">
        <f>-639.73+-455-430</f>
        <v>-1524.73</v>
      </c>
      <c r="C55" s="47">
        <v>-2400</v>
      </c>
      <c r="D55" s="19"/>
      <c r="E55" s="19"/>
      <c r="G55" s="47">
        <v>-2000</v>
      </c>
    </row>
    <row r="56" spans="1:9" ht="15.75">
      <c r="A56" s="16" t="s">
        <v>54</v>
      </c>
      <c r="B56" s="54">
        <f>-1200</f>
        <v>-1200</v>
      </c>
      <c r="C56" s="18">
        <v>-10000</v>
      </c>
      <c r="D56" s="19">
        <v>-2700</v>
      </c>
      <c r="E56" s="19"/>
      <c r="F56" s="46">
        <f>-2700-2700</f>
        <v>-5400</v>
      </c>
      <c r="G56" s="18">
        <v>-10000</v>
      </c>
    </row>
    <row r="57" spans="1:9" ht="15.75">
      <c r="A57" s="16" t="s">
        <v>55</v>
      </c>
      <c r="B57" s="54">
        <f>-72+-379.66+-409</f>
        <v>-860.66000000000008</v>
      </c>
      <c r="C57" s="18">
        <v>-400</v>
      </c>
      <c r="D57" s="19"/>
      <c r="E57" s="19"/>
      <c r="F57" s="19">
        <f>-144-312</f>
        <v>-456</v>
      </c>
      <c r="G57" s="18">
        <v>-1000</v>
      </c>
      <c r="I57" s="62"/>
    </row>
    <row r="58" spans="1:9" ht="15.75">
      <c r="A58" s="16" t="s">
        <v>31</v>
      </c>
      <c r="B58" s="54">
        <f>-2025.9</f>
        <v>-2025.9</v>
      </c>
      <c r="C58" s="18">
        <v>-2000</v>
      </c>
      <c r="D58" s="19"/>
      <c r="E58" s="19"/>
      <c r="F58" s="19">
        <f>-2261</f>
        <v>-2261</v>
      </c>
      <c r="G58" s="18">
        <v>-2261</v>
      </c>
    </row>
    <row r="59" spans="1:9" ht="15.75">
      <c r="A59" s="16" t="s">
        <v>11</v>
      </c>
      <c r="B59" s="53">
        <f>-698-457-680-158</f>
        <v>-1993</v>
      </c>
      <c r="C59" s="47">
        <v>-2500</v>
      </c>
      <c r="D59" s="19"/>
      <c r="E59" s="19"/>
      <c r="F59" s="46">
        <f>-564</f>
        <v>-564</v>
      </c>
      <c r="G59" s="47">
        <v>-2000</v>
      </c>
    </row>
    <row r="60" spans="1:9">
      <c r="A60" s="26" t="s">
        <v>56</v>
      </c>
      <c r="B60" s="54">
        <f>-172+-3262+-600-1627-4837-4878-3856</f>
        <v>-19232</v>
      </c>
      <c r="C60" s="18">
        <f>-9655-14198</f>
        <v>-23853</v>
      </c>
      <c r="D60" s="19">
        <v>-87.13</v>
      </c>
      <c r="E60" s="19">
        <v>-22.02</v>
      </c>
      <c r="F60" s="19">
        <f>-1141-87-22</f>
        <v>-1250</v>
      </c>
      <c r="G60" s="18">
        <v>-17500</v>
      </c>
    </row>
    <row r="61" spans="1:9">
      <c r="A61" s="26" t="s">
        <v>85</v>
      </c>
      <c r="B61" s="56">
        <f>-8627.84-1150</f>
        <v>-9777.84</v>
      </c>
      <c r="C61" s="49">
        <v>-14253</v>
      </c>
      <c r="D61" s="19"/>
      <c r="E61" s="19"/>
      <c r="F61" s="48">
        <f>-5325-1520</f>
        <v>-6845</v>
      </c>
      <c r="G61" s="49">
        <v>-19800</v>
      </c>
    </row>
    <row r="62" spans="1:9" ht="15.75">
      <c r="A62" s="21" t="s">
        <v>58</v>
      </c>
      <c r="B62" s="57">
        <f>SUM(B29:B61)</f>
        <v>-254825.37000000002</v>
      </c>
      <c r="C62" s="60">
        <f>SUM(C29:C61)</f>
        <v>-324376</v>
      </c>
      <c r="D62" s="63">
        <f>SUM(D29:D61)</f>
        <v>-5440.63</v>
      </c>
      <c r="E62" s="61">
        <f>SUM(E29:E61)</f>
        <v>-31562.18</v>
      </c>
      <c r="F62" s="27">
        <f>SUM(F29:F61)</f>
        <v>-131063</v>
      </c>
      <c r="G62" s="28">
        <f>SUM(G29:G61)</f>
        <v>-305481</v>
      </c>
      <c r="H62" s="11"/>
    </row>
    <row r="63" spans="1:9">
      <c r="A63" s="29"/>
      <c r="B63" s="54"/>
      <c r="C63" s="24"/>
      <c r="D63" s="19"/>
      <c r="E63" s="19"/>
      <c r="F63" s="19"/>
      <c r="G63" s="24"/>
    </row>
    <row r="64" spans="1:9" ht="15.75">
      <c r="A64" s="21" t="s">
        <v>59</v>
      </c>
      <c r="B64" s="55">
        <f>B28+B62</f>
        <v>61327.169999999955</v>
      </c>
      <c r="C64" s="22">
        <f>C28+C62</f>
        <v>-63526</v>
      </c>
      <c r="D64" s="23">
        <f>D28+D62</f>
        <v>3568.0800000000008</v>
      </c>
      <c r="E64" s="23">
        <f>E28+E62</f>
        <v>-8927.1899999999987</v>
      </c>
      <c r="F64" s="23">
        <f>F28+F62</f>
        <v>13475</v>
      </c>
      <c r="G64" s="22">
        <f>G28+G62</f>
        <v>-43181</v>
      </c>
      <c r="H64" s="11"/>
    </row>
    <row r="65" spans="1:8">
      <c r="A65" s="29"/>
      <c r="B65" s="17"/>
      <c r="C65" s="24"/>
      <c r="D65" s="19"/>
      <c r="E65" s="19"/>
      <c r="F65" s="19"/>
      <c r="G65" s="24"/>
    </row>
    <row r="66" spans="1:8">
      <c r="A66" t="s">
        <v>60</v>
      </c>
      <c r="B66" s="30">
        <v>312815</v>
      </c>
      <c r="C66" s="31">
        <f>B66</f>
        <v>312815</v>
      </c>
      <c r="D66" s="32"/>
      <c r="E66" s="32"/>
      <c r="F66" s="32">
        <f>B67</f>
        <v>374142.16999999993</v>
      </c>
      <c r="G66" s="31">
        <f>F66</f>
        <v>374142.16999999993</v>
      </c>
    </row>
    <row r="67" spans="1:8">
      <c r="A67" t="s">
        <v>61</v>
      </c>
      <c r="B67" s="33">
        <f>B66+B64</f>
        <v>374142.16999999993</v>
      </c>
      <c r="C67" s="34">
        <f>C66+C64</f>
        <v>249289</v>
      </c>
      <c r="D67" s="35"/>
      <c r="E67" s="35"/>
      <c r="F67" s="35">
        <f>F66+F64</f>
        <v>387617.16999999993</v>
      </c>
      <c r="G67" s="36">
        <f>G66+G64</f>
        <v>330961.16999999993</v>
      </c>
    </row>
    <row r="68" spans="1:8">
      <c r="B68" s="37"/>
      <c r="C68" s="14"/>
      <c r="D68" s="14"/>
      <c r="E68" s="14"/>
    </row>
    <row r="69" spans="1:8">
      <c r="A69" s="38" t="s">
        <v>62</v>
      </c>
      <c r="B69" s="39" t="s">
        <v>63</v>
      </c>
      <c r="C69" s="39" t="s">
        <v>64</v>
      </c>
      <c r="D69" s="39"/>
      <c r="E69" s="39"/>
      <c r="F69" s="39" t="s">
        <v>63</v>
      </c>
      <c r="G69" s="39" t="s">
        <v>64</v>
      </c>
      <c r="H69" s="39"/>
    </row>
    <row r="70" spans="1:8">
      <c r="A70" s="40" t="s">
        <v>65</v>
      </c>
      <c r="B70" s="41">
        <v>0</v>
      </c>
      <c r="C70" s="41">
        <v>0</v>
      </c>
      <c r="D70" s="41"/>
      <c r="E70" s="41"/>
      <c r="F70" s="41">
        <v>0</v>
      </c>
      <c r="G70" s="41">
        <v>0</v>
      </c>
    </row>
    <row r="71" spans="1:8">
      <c r="A71" s="40" t="s">
        <v>66</v>
      </c>
      <c r="B71" s="41">
        <v>14198</v>
      </c>
      <c r="C71" s="41">
        <v>12212</v>
      </c>
      <c r="D71" s="41"/>
      <c r="E71" s="41"/>
      <c r="F71" s="41">
        <v>0</v>
      </c>
      <c r="G71" s="41">
        <v>0</v>
      </c>
    </row>
    <row r="72" spans="1:8">
      <c r="A72" s="40" t="s">
        <v>67</v>
      </c>
      <c r="B72" s="41">
        <v>0</v>
      </c>
      <c r="C72" s="41">
        <v>7990</v>
      </c>
      <c r="D72" s="41"/>
      <c r="E72" s="41"/>
      <c r="F72" s="41">
        <v>7990</v>
      </c>
      <c r="G72" s="41">
        <v>0</v>
      </c>
    </row>
    <row r="73" spans="1:8">
      <c r="A73" s="40" t="s">
        <v>68</v>
      </c>
      <c r="B73" s="41">
        <v>0</v>
      </c>
      <c r="C73" s="41">
        <v>0</v>
      </c>
      <c r="D73" s="41"/>
      <c r="E73" s="41"/>
      <c r="F73" s="41">
        <v>0</v>
      </c>
      <c r="G73" s="41">
        <v>0</v>
      </c>
    </row>
    <row r="74" spans="1:8">
      <c r="A74" s="42" t="s">
        <v>69</v>
      </c>
      <c r="B74" s="41">
        <v>3426.56</v>
      </c>
      <c r="C74" s="41">
        <v>5269.75</v>
      </c>
      <c r="D74" s="41"/>
      <c r="E74" s="41"/>
      <c r="F74" s="41">
        <f>C74</f>
        <v>5269.75</v>
      </c>
      <c r="G74" s="41">
        <v>0</v>
      </c>
    </row>
    <row r="75" spans="1:8">
      <c r="A75" s="40" t="s">
        <v>70</v>
      </c>
      <c r="B75" s="41">
        <v>0</v>
      </c>
      <c r="C75" s="41">
        <v>324.36</v>
      </c>
      <c r="D75" s="41"/>
      <c r="E75" s="41"/>
      <c r="F75" s="41">
        <f>C75</f>
        <v>324.36</v>
      </c>
      <c r="G75" s="41">
        <v>324.36</v>
      </c>
    </row>
    <row r="76" spans="1:8">
      <c r="A76" t="s">
        <v>71</v>
      </c>
      <c r="B76" s="41">
        <v>3000</v>
      </c>
      <c r="C76" s="41">
        <v>3000</v>
      </c>
      <c r="D76" s="41"/>
      <c r="E76" s="41"/>
      <c r="F76" s="41">
        <f>C76</f>
        <v>3000</v>
      </c>
      <c r="G76" s="41">
        <f t="shared" ref="G76" si="0">F76</f>
        <v>3000</v>
      </c>
    </row>
    <row r="77" spans="1:8">
      <c r="A77" t="s">
        <v>72</v>
      </c>
      <c r="B77" s="41">
        <v>0</v>
      </c>
      <c r="C77" s="41">
        <v>0</v>
      </c>
      <c r="D77" s="41"/>
      <c r="E77" s="41"/>
      <c r="F77" s="41">
        <v>0</v>
      </c>
      <c r="G77" s="41">
        <v>0</v>
      </c>
    </row>
    <row r="78" spans="1:8">
      <c r="A78" t="s">
        <v>73</v>
      </c>
      <c r="B78" s="41">
        <v>0</v>
      </c>
      <c r="C78" s="41">
        <v>14253.01</v>
      </c>
      <c r="D78" s="41"/>
      <c r="E78" s="41"/>
      <c r="F78" s="41">
        <f>C78-8627.84-1150</f>
        <v>4475.17</v>
      </c>
      <c r="G78" s="41">
        <v>0</v>
      </c>
    </row>
    <row r="79" spans="1:8">
      <c r="A79" t="s">
        <v>74</v>
      </c>
      <c r="B79" s="41">
        <v>0</v>
      </c>
      <c r="C79" s="41">
        <v>19589</v>
      </c>
      <c r="D79" s="41"/>
      <c r="E79" s="41"/>
      <c r="F79" s="41">
        <v>19589</v>
      </c>
      <c r="G79" s="41">
        <v>0</v>
      </c>
    </row>
    <row r="80" spans="1:8">
      <c r="A80" t="s">
        <v>75</v>
      </c>
      <c r="B80" s="41">
        <v>110000</v>
      </c>
      <c r="C80" s="41">
        <v>126000</v>
      </c>
      <c r="D80" s="41"/>
      <c r="E80" s="41"/>
      <c r="F80" s="41">
        <v>150000</v>
      </c>
      <c r="G80" s="41">
        <f>F80</f>
        <v>150000</v>
      </c>
    </row>
    <row r="81" spans="1:8">
      <c r="B81" s="41"/>
      <c r="C81" s="41"/>
      <c r="D81" s="41"/>
      <c r="E81" s="41"/>
      <c r="F81" s="41"/>
      <c r="G81" s="41"/>
    </row>
    <row r="82" spans="1:8">
      <c r="A82" s="43" t="s">
        <v>77</v>
      </c>
      <c r="B82" s="44">
        <f>SUM(B70:B80)</f>
        <v>130624.56</v>
      </c>
      <c r="C82" s="44">
        <f>SUM(C70:C80)</f>
        <v>188638.12</v>
      </c>
      <c r="D82" s="44"/>
      <c r="E82" s="44"/>
      <c r="F82" s="44">
        <f>SUM(F70:F80)</f>
        <v>190648.28</v>
      </c>
      <c r="G82" s="44">
        <f>SUM(G70:G80)</f>
        <v>153324.35999999999</v>
      </c>
      <c r="H82" s="45"/>
    </row>
    <row r="83" spans="1:8">
      <c r="A83" s="43" t="s">
        <v>78</v>
      </c>
      <c r="B83" s="44">
        <f>B66-B82</f>
        <v>182190.44</v>
      </c>
      <c r="C83" s="44">
        <f>B67-C82</f>
        <v>185504.04999999993</v>
      </c>
      <c r="D83" s="44"/>
      <c r="E83" s="44"/>
      <c r="F83" s="44">
        <f>F66-F82</f>
        <v>183493.88999999993</v>
      </c>
      <c r="G83" s="44">
        <f>G67-G82</f>
        <v>177636.80999999994</v>
      </c>
      <c r="H83" s="45"/>
    </row>
    <row r="84" spans="1:8">
      <c r="A84" s="43" t="s">
        <v>79</v>
      </c>
      <c r="B84" s="44">
        <f>SUM(B82:B83)</f>
        <v>312815</v>
      </c>
      <c r="C84" s="44">
        <f t="shared" ref="C84:G84" si="1">SUM(C82:C83)</f>
        <v>374142.16999999993</v>
      </c>
      <c r="D84" s="44"/>
      <c r="E84" s="44"/>
      <c r="F84" s="44">
        <f t="shared" si="1"/>
        <v>374142.16999999993</v>
      </c>
      <c r="G84" s="44">
        <f t="shared" si="1"/>
        <v>330961.16999999993</v>
      </c>
      <c r="H84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15D2-6D99-4F4F-AE5B-C2DF173B2A7C}">
  <dimension ref="A1:H82"/>
  <sheetViews>
    <sheetView topLeftCell="A57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9</v>
      </c>
      <c r="G5" s="10" t="s">
        <v>2</v>
      </c>
    </row>
    <row r="6" spans="1:7">
      <c r="A6" s="11" t="s">
        <v>10</v>
      </c>
      <c r="B6" s="58"/>
      <c r="C6" s="59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/>
      <c r="F18" s="19"/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/>
      <c r="F20" s="46"/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/>
      <c r="F26" s="19"/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/>
      <c r="E28" s="23">
        <f>SUM(E6:E27)</f>
        <v>0</v>
      </c>
      <c r="F28" s="23">
        <f>SUM(F6:F27)</f>
        <v>0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50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F32" s="19"/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50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50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50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50"/>
      <c r="F49" s="19"/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F56" s="19"/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50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50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52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0</v>
      </c>
      <c r="F61" s="27">
        <f>SUM(F29:F60)</f>
        <v>0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0</v>
      </c>
      <c r="F63" s="23">
        <f>F28+F61</f>
        <v>0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374142.16999999993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f>C71</f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A80" s="43" t="s">
        <v>77</v>
      </c>
      <c r="B80" s="44">
        <f>SUM(B69:B79)</f>
        <v>130624.56</v>
      </c>
      <c r="C80" s="44">
        <f>SUM(C69:C79)</f>
        <v>188638.12</v>
      </c>
      <c r="D80" s="44"/>
      <c r="E80" s="44"/>
      <c r="F80" s="44">
        <f>SUM(F69:F79)</f>
        <v>171498.28</v>
      </c>
      <c r="G80" s="44">
        <f>SUM(G69:G79)</f>
        <v>153324.35999999999</v>
      </c>
      <c r="H80" s="45"/>
    </row>
    <row r="81" spans="1:8">
      <c r="A81" s="43" t="s">
        <v>78</v>
      </c>
      <c r="B81" s="44">
        <f>B65-B80</f>
        <v>182190.44</v>
      </c>
      <c r="C81" s="44">
        <f>B66-C80</f>
        <v>185504.04999999993</v>
      </c>
      <c r="D81" s="44"/>
      <c r="E81" s="44"/>
      <c r="F81" s="44">
        <f>F65-F80</f>
        <v>202643.88999999993</v>
      </c>
      <c r="G81" s="44">
        <f>G66-G80</f>
        <v>179397.80999999994</v>
      </c>
      <c r="H81" s="45"/>
    </row>
    <row r="82" spans="1:8">
      <c r="A82" s="43" t="s">
        <v>79</v>
      </c>
      <c r="B82" s="44">
        <f>SUM(B80:B81)</f>
        <v>312815</v>
      </c>
      <c r="C82" s="44">
        <f t="shared" ref="C82:G82" si="1">SUM(C80:C81)</f>
        <v>374142.16999999993</v>
      </c>
      <c r="D82" s="44"/>
      <c r="E82" s="44"/>
      <c r="F82" s="44">
        <f t="shared" si="1"/>
        <v>374142.16999999993</v>
      </c>
      <c r="G82" s="44">
        <f t="shared" si="1"/>
        <v>332722.16999999993</v>
      </c>
      <c r="H82" s="45"/>
    </row>
  </sheetData>
  <mergeCells count="2">
    <mergeCell ref="B3:C3"/>
    <mergeCell ref="D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F78F2-2A0F-4FFF-8600-536F66416D36}">
  <dimension ref="A1:H83"/>
  <sheetViews>
    <sheetView topLeftCell="A59" workbookViewId="0">
      <selection activeCell="C77" sqref="C7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/>
      <c r="E5" s="9" t="s">
        <v>8</v>
      </c>
      <c r="F5" s="9" t="s">
        <v>80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50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50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50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50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50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50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50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50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50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50"/>
      <c r="E16" s="19"/>
      <c r="F16" s="19"/>
      <c r="G16" s="18">
        <v>4500</v>
      </c>
    </row>
    <row r="17" spans="1:8" ht="15.75">
      <c r="A17" s="16" t="s">
        <v>21</v>
      </c>
      <c r="B17" s="54">
        <v>19859</v>
      </c>
      <c r="C17" s="18">
        <v>0</v>
      </c>
      <c r="D17" s="50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50"/>
      <c r="E18" s="19">
        <v>3.74</v>
      </c>
      <c r="F18" s="19">
        <f>4</f>
        <v>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50"/>
      <c r="E19" s="19"/>
      <c r="F19" s="46"/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50"/>
      <c r="E20" s="19">
        <v>102</v>
      </c>
      <c r="F20" s="46">
        <f>102</f>
        <v>102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50"/>
      <c r="E21" s="19"/>
      <c r="F21" s="46"/>
      <c r="G21" s="47">
        <v>0</v>
      </c>
    </row>
    <row r="22" spans="1:8" ht="15.75">
      <c r="A22" s="20" t="s">
        <v>26</v>
      </c>
      <c r="B22" s="54">
        <v>91181</v>
      </c>
      <c r="C22" s="18">
        <v>60000</v>
      </c>
      <c r="D22" s="50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50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50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50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50"/>
      <c r="E26" s="19">
        <v>465</v>
      </c>
      <c r="F26" s="19">
        <f>465</f>
        <v>465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50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0</v>
      </c>
      <c r="E28" s="23">
        <f>SUM(E6:E27)</f>
        <v>570.74</v>
      </c>
      <c r="F28" s="23">
        <f>SUM(F6:F27)</f>
        <v>571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50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50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50"/>
      <c r="E32" s="19">
        <v>-15.35</v>
      </c>
      <c r="F32" s="19">
        <f>-15</f>
        <v>-15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50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50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50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50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50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50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50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50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50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50"/>
      <c r="E42" s="19"/>
      <c r="F42" s="19"/>
      <c r="G42" s="18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50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50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50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50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50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50"/>
      <c r="E48" s="19"/>
      <c r="F48" s="19"/>
      <c r="G48" s="18">
        <v>-1000</v>
      </c>
    </row>
    <row r="49" spans="1:8" ht="15.75">
      <c r="A49" s="16" t="s">
        <v>48</v>
      </c>
      <c r="B49" s="54">
        <f>-14.99+-14.99+-14.99+-379+-15+-15-990-16-16-16-365</f>
        <v>-1856.97</v>
      </c>
      <c r="C49" s="18">
        <v>-1500</v>
      </c>
      <c r="D49" s="50"/>
      <c r="E49" s="19">
        <v>-15.99</v>
      </c>
      <c r="F49" s="19">
        <f>-16</f>
        <v>-16</v>
      </c>
      <c r="G49" s="18">
        <v>-2000</v>
      </c>
    </row>
    <row r="50" spans="1:8" ht="15.75">
      <c r="A50" s="16" t="s">
        <v>49</v>
      </c>
      <c r="B50" s="54">
        <f>-14572+-9657-14486</f>
        <v>-38715</v>
      </c>
      <c r="C50" s="18">
        <v>-60000</v>
      </c>
      <c r="D50" s="50"/>
      <c r="E50" s="19"/>
      <c r="F50" s="19"/>
      <c r="G50" s="18">
        <v>-60000</v>
      </c>
    </row>
    <row r="51" spans="1:8" ht="15.75">
      <c r="A51" s="16" t="s">
        <v>50</v>
      </c>
      <c r="B51" s="54">
        <f>-720</f>
        <v>-720</v>
      </c>
      <c r="C51" s="18">
        <v>0</v>
      </c>
      <c r="D51" s="50"/>
      <c r="E51" s="19"/>
      <c r="F51" s="19"/>
      <c r="G51" s="18">
        <v>-800</v>
      </c>
    </row>
    <row r="52" spans="1:8" ht="15.75">
      <c r="A52" s="16" t="s">
        <v>51</v>
      </c>
      <c r="B52" s="54">
        <f>-438</f>
        <v>-438</v>
      </c>
      <c r="C52" s="18">
        <v>-500</v>
      </c>
      <c r="D52" s="50"/>
      <c r="E52" s="19"/>
      <c r="F52" s="19"/>
      <c r="G52" s="18">
        <v>-500</v>
      </c>
    </row>
    <row r="53" spans="1:8" ht="15.75">
      <c r="A53" s="16" t="s">
        <v>52</v>
      </c>
      <c r="B53" s="54"/>
      <c r="C53" s="18">
        <v>-2000</v>
      </c>
      <c r="D53" s="50"/>
      <c r="E53" s="19"/>
      <c r="F53" s="19"/>
      <c r="G53" s="18">
        <v>-2000</v>
      </c>
    </row>
    <row r="54" spans="1:8" ht="15.75">
      <c r="A54" s="16" t="s">
        <v>53</v>
      </c>
      <c r="B54" s="53">
        <f>-639.73+-455-430</f>
        <v>-1524.73</v>
      </c>
      <c r="C54" s="47">
        <v>-2400</v>
      </c>
      <c r="D54" s="50"/>
      <c r="E54" s="19"/>
      <c r="F54" s="46"/>
      <c r="G54" s="47">
        <v>-2000</v>
      </c>
    </row>
    <row r="55" spans="1:8" ht="15.75">
      <c r="A55" s="16" t="s">
        <v>54</v>
      </c>
      <c r="B55" s="54">
        <f>-1200</f>
        <v>-1200</v>
      </c>
      <c r="C55" s="18">
        <v>-10000</v>
      </c>
      <c r="D55" s="50"/>
      <c r="E55" s="19"/>
      <c r="F55" s="19"/>
      <c r="G55" s="18">
        <v>-10000</v>
      </c>
    </row>
    <row r="56" spans="1:8" ht="15.75">
      <c r="A56" s="16" t="s">
        <v>55</v>
      </c>
      <c r="B56" s="54">
        <f>-72+-379.66+-409</f>
        <v>-860.66000000000008</v>
      </c>
      <c r="C56" s="18">
        <v>-400</v>
      </c>
      <c r="D56" s="50"/>
      <c r="E56" s="19">
        <v>-144</v>
      </c>
      <c r="F56" s="19">
        <f>-144</f>
        <v>-144</v>
      </c>
      <c r="G56" s="18">
        <v>-1000</v>
      </c>
    </row>
    <row r="57" spans="1:8" ht="15.75">
      <c r="A57" s="16" t="s">
        <v>31</v>
      </c>
      <c r="B57" s="54">
        <f>-2025.9</f>
        <v>-2025.9</v>
      </c>
      <c r="C57" s="18">
        <v>-2000</v>
      </c>
      <c r="D57" s="50"/>
      <c r="E57" s="19"/>
      <c r="F57" s="19"/>
      <c r="G57" s="18">
        <v>-2000</v>
      </c>
    </row>
    <row r="58" spans="1:8" ht="15.75">
      <c r="A58" s="16" t="s">
        <v>11</v>
      </c>
      <c r="B58" s="53">
        <f>-698-457-680-158</f>
        <v>-1993</v>
      </c>
      <c r="C58" s="47">
        <v>-2500</v>
      </c>
      <c r="D58" s="50"/>
      <c r="E58" s="19"/>
      <c r="F58" s="46"/>
      <c r="G58" s="47">
        <v>-2000</v>
      </c>
    </row>
    <row r="59" spans="1:8">
      <c r="A59" s="26" t="s">
        <v>56</v>
      </c>
      <c r="B59" s="54">
        <f>-172+-3262+-600-1627-4837-4878-3856</f>
        <v>-19232</v>
      </c>
      <c r="C59" s="18">
        <f>-9655-14198</f>
        <v>-23853</v>
      </c>
      <c r="D59" s="50"/>
      <c r="E59" s="19"/>
      <c r="F59" s="19"/>
      <c r="G59" s="18">
        <v>-17500</v>
      </c>
    </row>
    <row r="60" spans="1:8">
      <c r="A60" s="26" t="s">
        <v>57</v>
      </c>
      <c r="B60" s="56">
        <f>-8627.84-1150</f>
        <v>-9777.84</v>
      </c>
      <c r="C60" s="49">
        <v>-14253</v>
      </c>
      <c r="D60" s="51"/>
      <c r="E60" s="19"/>
      <c r="F60" s="48"/>
      <c r="G60" s="49">
        <v>-19800</v>
      </c>
    </row>
    <row r="61" spans="1:8" ht="15.75">
      <c r="A61" s="21" t="s">
        <v>58</v>
      </c>
      <c r="B61" s="57">
        <f>SUM(B29:B60)</f>
        <v>-254825.37000000002</v>
      </c>
      <c r="C61" s="28">
        <f>SUM(C29:C60)</f>
        <v>-324376</v>
      </c>
      <c r="D61" s="27">
        <f>SUM(D29:D60)</f>
        <v>0</v>
      </c>
      <c r="E61" s="27">
        <f>SUM(E29:E60)</f>
        <v>-175.34</v>
      </c>
      <c r="F61" s="27">
        <f>SUM(F29:F60)</f>
        <v>-175</v>
      </c>
      <c r="G61" s="28">
        <f>SUM(G29:G60)</f>
        <v>-303720</v>
      </c>
      <c r="H61" s="11"/>
    </row>
    <row r="62" spans="1:8">
      <c r="A62" s="29"/>
      <c r="B62" s="54"/>
      <c r="C62" s="24"/>
      <c r="D62" s="19"/>
      <c r="E62" s="19"/>
      <c r="F62" s="19"/>
      <c r="G62" s="24"/>
    </row>
    <row r="63" spans="1:8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0</v>
      </c>
      <c r="E63" s="23">
        <f>E28+E61</f>
        <v>395.4</v>
      </c>
      <c r="F63" s="23">
        <f>F28+F61</f>
        <v>396</v>
      </c>
      <c r="G63" s="22">
        <f>G28+G61</f>
        <v>-41420</v>
      </c>
      <c r="H63" s="11"/>
    </row>
    <row r="64" spans="1:8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374538.16999999993</v>
      </c>
      <c r="G66" s="36">
        <f>G65+G63</f>
        <v>332722.16999999993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f>C76-19150</f>
        <v>-19150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/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  <c r="H79" t="s">
        <v>76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171498.28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202643.88999999993</v>
      </c>
      <c r="G82" s="44">
        <f>G66-G81</f>
        <v>179397.80999999994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332722.16999999993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2EC5-5F9B-48E8-BD63-024AEA36D8D2}">
  <dimension ref="A1:I83"/>
  <sheetViews>
    <sheetView workbookViewId="0">
      <selection activeCell="F26" sqref="F26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</v>
      </c>
      <c r="E5" s="9" t="s">
        <v>81</v>
      </c>
      <c r="F5" s="9" t="s">
        <v>82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/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/>
      <c r="F14" s="46"/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3.74</v>
      </c>
      <c r="F18" s="19">
        <f>4+4</f>
        <v>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>
        <v>40</v>
      </c>
      <c r="F19" s="46">
        <f>40</f>
        <v>40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102</v>
      </c>
      <c r="E20" s="19">
        <v>535.5</v>
      </c>
      <c r="F20" s="46">
        <f>102+536</f>
        <v>638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465</v>
      </c>
      <c r="E26" s="19">
        <v>10765</v>
      </c>
      <c r="F26" s="19">
        <f>465+10765</f>
        <v>11230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570.74</v>
      </c>
      <c r="E28" s="23">
        <f>SUM(E6:E27)</f>
        <v>11344.24</v>
      </c>
      <c r="F28" s="23">
        <f>SUM(F6:F27)</f>
        <v>11916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/>
      <c r="F31" s="19"/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-15.35</v>
      </c>
      <c r="E32" s="19">
        <v>-343.12</v>
      </c>
      <c r="F32" s="19">
        <f>-15-343</f>
        <v>-358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/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/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/>
      <c r="G42" s="65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/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</f>
        <v>-32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/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-144</v>
      </c>
      <c r="E56" s="19">
        <v>-312</v>
      </c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>
        <v>-2261</v>
      </c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57</v>
      </c>
      <c r="B60" s="56">
        <f>-8627.84-1150</f>
        <v>-9777.84</v>
      </c>
      <c r="C60" s="49">
        <v>-14253</v>
      </c>
      <c r="D60" s="19"/>
      <c r="E60" s="19"/>
      <c r="F60" s="48"/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-175.34</v>
      </c>
      <c r="E61" s="61">
        <f>SUM(E29:E60)</f>
        <v>-2932.11</v>
      </c>
      <c r="F61" s="27">
        <f>SUM(F29:F60)</f>
        <v>-3107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395.4</v>
      </c>
      <c r="E63" s="23">
        <f>E28+E61</f>
        <v>8412.1299999999992</v>
      </c>
      <c r="F63" s="23">
        <f>F28+F61</f>
        <v>8809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382951.16999999993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06CE-5EA7-480A-AA3E-1174B1D7658B}">
  <dimension ref="A1:I83"/>
  <sheetViews>
    <sheetView workbookViewId="0">
      <selection activeCell="F14" sqref="F14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81</v>
      </c>
      <c r="E5" s="9" t="s">
        <v>83</v>
      </c>
      <c r="F5" s="9" t="s">
        <v>84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/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/>
      <c r="F12" s="19"/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1780</v>
      </c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/>
      <c r="E14" s="19">
        <v>100</v>
      </c>
      <c r="F14" s="46">
        <f>100</f>
        <v>100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</f>
        <v>12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>
        <v>40</v>
      </c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535.5</v>
      </c>
      <c r="E20" s="19">
        <v>306</v>
      </c>
      <c r="F20" s="46">
        <f>102+536+306</f>
        <v>944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10765</v>
      </c>
      <c r="E26" s="19">
        <v>4810</v>
      </c>
      <c r="F26" s="19">
        <f>465+10765+4810</f>
        <v>16040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11344.24</v>
      </c>
      <c r="E28" s="23">
        <f>SUM(E6:E27)</f>
        <v>7039.62</v>
      </c>
      <c r="F28" s="23">
        <f>SUM(F6:F27)</f>
        <v>18956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-956</v>
      </c>
      <c r="F31" s="19">
        <v>-956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-343.12</v>
      </c>
      <c r="E32" s="19">
        <v>-212.93</v>
      </c>
      <c r="F32" s="19">
        <f>-15-343-213</f>
        <v>-571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>
        <v>-350</v>
      </c>
      <c r="F35" s="46">
        <f>-350</f>
        <v>-350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/>
      <c r="F39" s="19"/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/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-1226.98</v>
      </c>
      <c r="F41" s="19">
        <f>-1227</f>
        <v>-1227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>
        <v>-1111.5</v>
      </c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>
        <v>-17634.18</v>
      </c>
      <c r="F43" s="19">
        <f>-17634</f>
        <v>-17634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/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/>
      <c r="F45" s="19"/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-15.99</v>
      </c>
      <c r="F49" s="19">
        <f>-16-16-16</f>
        <v>-48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>
        <v>-14684.07</v>
      </c>
      <c r="F50" s="19">
        <f>-14684</f>
        <v>-14684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/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F54" s="46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>
        <v>-312</v>
      </c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>
        <v>-2261</v>
      </c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/>
      <c r="F59" s="19"/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>
        <v>-5325.46</v>
      </c>
      <c r="F60" s="48">
        <f>-5325</f>
        <v>-5325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-2932.11</v>
      </c>
      <c r="E61" s="61">
        <f>SUM(E29:E60)</f>
        <v>-41517.11</v>
      </c>
      <c r="F61" s="27">
        <f>SUM(F29:F60)</f>
        <v>-44624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8412.1299999999992</v>
      </c>
      <c r="E63" s="23">
        <f>E28+E61</f>
        <v>-34477.49</v>
      </c>
      <c r="F63" s="23">
        <f>F28+F61</f>
        <v>-25668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348474.16999999993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4FA7-105D-426C-A531-28C3D5AC5FC7}">
  <sheetPr>
    <pageSetUpPr fitToPage="1"/>
  </sheetPr>
  <dimension ref="A1:I83"/>
  <sheetViews>
    <sheetView workbookViewId="0">
      <selection activeCell="E7" sqref="E7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83</v>
      </c>
      <c r="E5" s="9" t="s">
        <v>86</v>
      </c>
      <c r="F5" s="9" t="s">
        <v>87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>
        <v>7475</v>
      </c>
      <c r="F10" s="19">
        <f>7475</f>
        <v>7475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/>
      <c r="E12" s="19">
        <v>322.01</v>
      </c>
      <c r="F12" s="19">
        <f>322</f>
        <v>322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1780</v>
      </c>
      <c r="E13" s="19"/>
      <c r="F13" s="19">
        <f>1780</f>
        <v>1780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>
        <v>200</v>
      </c>
      <c r="F14" s="46">
        <f>100+200</f>
        <v>300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</f>
        <v>16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>
        <v>40</v>
      </c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306</v>
      </c>
      <c r="E20" s="19">
        <v>12.75</v>
      </c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/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4810</v>
      </c>
      <c r="E26" s="19">
        <v>2313.04</v>
      </c>
      <c r="F26" s="19">
        <f>465+10765+4810+2313</f>
        <v>18353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7039.62</v>
      </c>
      <c r="E28" s="23">
        <f>SUM(E6:E27)</f>
        <v>10326.540000000001</v>
      </c>
      <c r="F28" s="23">
        <f>SUM(F6:F27)</f>
        <v>29283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-956</v>
      </c>
      <c r="E31" s="19">
        <v>-413.74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-212.93</v>
      </c>
      <c r="E32" s="19">
        <v>-288.83999999999997</v>
      </c>
      <c r="F32" s="19">
        <f>-15-343-213-289</f>
        <v>-860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-350</v>
      </c>
      <c r="E35" s="19">
        <v>-266.37</v>
      </c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-8827.75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>
        <v>-349.28</v>
      </c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-1226.98</v>
      </c>
      <c r="E41" s="19">
        <v>-3000</v>
      </c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>
        <v>-1111.5</v>
      </c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-17634.18</v>
      </c>
      <c r="E43" s="19">
        <v>-10902.63</v>
      </c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-282</v>
      </c>
      <c r="F44" s="19">
        <f>-282</f>
        <v>-282</v>
      </c>
      <c r="G44" s="18">
        <v>-300</v>
      </c>
    </row>
    <row r="45" spans="1:7" ht="15.75">
      <c r="A45" s="16" t="s">
        <v>44</v>
      </c>
      <c r="B45" s="54">
        <f>-910-940-61</f>
        <v>-1911</v>
      </c>
      <c r="C45" s="18">
        <v>-2000</v>
      </c>
      <c r="D45" s="19"/>
      <c r="E45" s="19">
        <v>-197.05</v>
      </c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-435.99</v>
      </c>
      <c r="F49" s="19">
        <f>-16-16-16-436</f>
        <v>-484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-14684.07</v>
      </c>
      <c r="E50" s="19">
        <v>-8859.5499999999993</v>
      </c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>
        <v>-660</v>
      </c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>
        <v>-2700</v>
      </c>
      <c r="F54" s="46">
        <f>-2700</f>
        <v>-2700</v>
      </c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19"/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-1141.18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-5325.46</v>
      </c>
      <c r="E60" s="19">
        <v>-1520</v>
      </c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-41517.11</v>
      </c>
      <c r="E61" s="61">
        <f>SUM(E29:E60)</f>
        <v>-39844.379999999997</v>
      </c>
      <c r="F61" s="27">
        <f>SUM(F29:F60)</f>
        <v>-84469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-34477.49</v>
      </c>
      <c r="E63" s="23">
        <f>E28+E61</f>
        <v>-29517.839999999997</v>
      </c>
      <c r="F63" s="23">
        <f>F28+F61</f>
        <v>-55186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318956.16999999993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86331-861A-4ED0-B147-BE4E99BE23D8}">
  <sheetPr>
    <pageSetUpPr fitToPage="1"/>
  </sheetPr>
  <dimension ref="A1:I83"/>
  <sheetViews>
    <sheetView topLeftCell="R10" workbookViewId="0">
      <selection activeCell="J25" sqref="J25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86</v>
      </c>
      <c r="E5" s="9" t="s">
        <v>88</v>
      </c>
      <c r="F5" s="9" t="s">
        <v>89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>
        <v>7475</v>
      </c>
      <c r="E10" s="19">
        <v>7819</v>
      </c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322.01</v>
      </c>
      <c r="E12" s="19">
        <v>349.38</v>
      </c>
      <c r="F12" s="19">
        <f>322+349</f>
        <v>671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>
        <v>85</v>
      </c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200</v>
      </c>
      <c r="E14" s="19">
        <v>57619.41</v>
      </c>
      <c r="F14" s="46">
        <f>100+200+57619</f>
        <v>57919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3.62</v>
      </c>
      <c r="F18" s="19">
        <f>4+4+4+4+4</f>
        <v>20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>
        <v>12.75</v>
      </c>
      <c r="E20" s="19"/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/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/>
      <c r="F23" s="46"/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>
        <v>4270</v>
      </c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2313.04</v>
      </c>
      <c r="E26" s="19">
        <v>422</v>
      </c>
      <c r="F26" s="19">
        <f>465+10765+4810+2313+422</f>
        <v>18775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10326.540000000001</v>
      </c>
      <c r="E28" s="23">
        <f>SUM(E6:E27)</f>
        <v>70568.41</v>
      </c>
      <c r="F28" s="23">
        <f>SUM(F6:F27)</f>
        <v>99851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-413.74</v>
      </c>
      <c r="E31" s="19"/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-288.83999999999997</v>
      </c>
      <c r="E32" s="19">
        <v>-4.66</v>
      </c>
      <c r="F32" s="19">
        <f>-15-343-213-289-5</f>
        <v>-865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>
        <v>-266.37</v>
      </c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>
        <v>-8827.75</v>
      </c>
      <c r="E39" s="19"/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>
        <v>-349.28</v>
      </c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>
        <v>-3000</v>
      </c>
      <c r="E41" s="19"/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>
        <v>-10902.63</v>
      </c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>
        <v>-282</v>
      </c>
      <c r="E44" s="19"/>
      <c r="F44" s="19">
        <f>-282</f>
        <v>-282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>
        <v>-197.05</v>
      </c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/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-435.99</v>
      </c>
      <c r="E49" s="19">
        <v>-15.99</v>
      </c>
      <c r="F49" s="19">
        <f>-16-16-16-436-16</f>
        <v>-500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>
        <v>-8859.5499999999993</v>
      </c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/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>
        <v>-660</v>
      </c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>
        <v>-2700</v>
      </c>
      <c r="E55" s="19"/>
      <c r="F55" s="46">
        <f>-2700</f>
        <v>-2700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/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>
        <v>-1141.18</v>
      </c>
      <c r="E59" s="19"/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>
        <v>-1520</v>
      </c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-39844.379999999997</v>
      </c>
      <c r="E61" s="61">
        <f>SUM(E29:E60)</f>
        <v>-20.65</v>
      </c>
      <c r="F61" s="27">
        <f>SUM(F29:F60)</f>
        <v>-84490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-29517.839999999997</v>
      </c>
      <c r="E63" s="23">
        <f>E28+E61</f>
        <v>70547.760000000009</v>
      </c>
      <c r="F63" s="23">
        <f>F28+F61</f>
        <v>15361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389503.16999999993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8F2B-A125-4057-A2B8-5FC44425DCAE}">
  <sheetPr>
    <pageSetUpPr fitToPage="1"/>
  </sheetPr>
  <dimension ref="A1:I83"/>
  <sheetViews>
    <sheetView topLeftCell="A23" workbookViewId="0">
      <selection activeCell="F31" sqref="F31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88</v>
      </c>
      <c r="E5" s="9" t="s">
        <v>91</v>
      </c>
      <c r="F5" s="9" t="s">
        <v>92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/>
      <c r="F8" s="19"/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/>
      <c r="F9" s="19"/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>
        <v>7819</v>
      </c>
      <c r="E10" s="19"/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349.38</v>
      </c>
      <c r="E12" s="19">
        <v>490.71</v>
      </c>
      <c r="F12" s="19">
        <f>322+349+491</f>
        <v>1162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>
        <v>85</v>
      </c>
      <c r="E13" s="19"/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57619.41</v>
      </c>
      <c r="E14" s="19">
        <v>100</v>
      </c>
      <c r="F14" s="46">
        <f>100+200+57619+100</f>
        <v>58019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/>
      <c r="E15" s="19">
        <v>943</v>
      </c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3.62</v>
      </c>
      <c r="E18" s="19">
        <v>3.74</v>
      </c>
      <c r="F18" s="19">
        <f>4+4+4+4+4+4</f>
        <v>24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/>
      <c r="E20" s="19"/>
      <c r="F20" s="46">
        <f>102+536+306+13</f>
        <v>957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/>
      <c r="F21" s="46">
        <f>240</f>
        <v>240</v>
      </c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/>
      <c r="E23" s="19">
        <v>1471.6</v>
      </c>
      <c r="F23" s="46">
        <f>1472</f>
        <v>1472</v>
      </c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>
        <v>4270</v>
      </c>
      <c r="E25" s="19"/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422</v>
      </c>
      <c r="E26" s="19">
        <v>10975</v>
      </c>
      <c r="F26" s="19">
        <f>465+10765+4810+2313+422+10975</f>
        <v>29750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70568.41</v>
      </c>
      <c r="E28" s="23">
        <f>SUM(E6:E27)</f>
        <v>13984.05</v>
      </c>
      <c r="F28" s="23">
        <f>SUM(F6:F27)</f>
        <v>113133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/>
      <c r="E31" s="19">
        <v>-480.63</v>
      </c>
      <c r="F31" s="19">
        <f>-956-414</f>
        <v>-1370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-4.66</v>
      </c>
      <c r="E32" s="19">
        <v>-119.83</v>
      </c>
      <c r="F32" s="19">
        <f>-15-343-213-289-5</f>
        <v>-865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/>
      <c r="E39" s="19">
        <v>-497.13</v>
      </c>
      <c r="F39" s="19">
        <f>-8828</f>
        <v>-8828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/>
      <c r="F41" s="19">
        <f>-1227-3000</f>
        <v>-4227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/>
      <c r="F44" s="19">
        <f>-282</f>
        <v>-282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/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/>
      <c r="E46" s="19">
        <v>-8279.5</v>
      </c>
      <c r="F46" s="46"/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/>
      <c r="F48" s="19"/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-15.99</v>
      </c>
      <c r="E49" s="19">
        <v>-55.59</v>
      </c>
      <c r="F49" s="19">
        <f>-16-16-16-436-16</f>
        <v>-500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/>
      <c r="E51" s="19">
        <v>-101.3</v>
      </c>
      <c r="F51" s="19"/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/>
      <c r="F55" s="46">
        <f>-2700</f>
        <v>-2700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/>
      <c r="E58" s="19">
        <v>-564.21</v>
      </c>
      <c r="F58" s="46"/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/>
      <c r="E59" s="19">
        <v>-450.01</v>
      </c>
      <c r="F59" s="19">
        <f>-1141</f>
        <v>-1141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-20.65</v>
      </c>
      <c r="E61" s="61">
        <f>SUM(E29:E60)</f>
        <v>-10548.199999999999</v>
      </c>
      <c r="F61" s="27">
        <f>SUM(F29:F60)</f>
        <v>-84490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70547.760000000009</v>
      </c>
      <c r="E63" s="23">
        <f>E28+E61</f>
        <v>3435.8500000000004</v>
      </c>
      <c r="F63" s="23">
        <f>F28+F61</f>
        <v>28643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402785.16999999993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2DF0-9BE3-44CD-81C8-F0DBC1B0BE57}">
  <sheetPr>
    <pageSetUpPr fitToPage="1"/>
  </sheetPr>
  <dimension ref="A1:I83"/>
  <sheetViews>
    <sheetView topLeftCell="A29" workbookViewId="0">
      <selection activeCell="F59" sqref="F59"/>
    </sheetView>
  </sheetViews>
  <sheetFormatPr defaultRowHeight="15"/>
  <cols>
    <col min="1" max="1" width="36.42578125" customWidth="1"/>
    <col min="2" max="2" width="14.28515625" customWidth="1"/>
    <col min="3" max="5" width="11.7109375" customWidth="1"/>
    <col min="6" max="6" width="13.7109375" customWidth="1"/>
    <col min="7" max="7" width="14.28515625" customWidth="1"/>
  </cols>
  <sheetData>
    <row r="1" spans="1:7" ht="15.75">
      <c r="A1" s="1" t="s">
        <v>0</v>
      </c>
    </row>
    <row r="2" spans="1:7" ht="15.75">
      <c r="A2" s="1"/>
    </row>
    <row r="3" spans="1:7" ht="15.75">
      <c r="A3" s="1"/>
      <c r="B3" s="67" t="s">
        <v>1</v>
      </c>
      <c r="C3" s="68"/>
      <c r="D3" s="67" t="s">
        <v>2</v>
      </c>
      <c r="E3" s="69"/>
      <c r="F3" s="69"/>
      <c r="G3" s="68"/>
    </row>
    <row r="4" spans="1:7" ht="15.75">
      <c r="B4" s="2" t="s">
        <v>3</v>
      </c>
      <c r="C4" s="3" t="s">
        <v>4</v>
      </c>
      <c r="D4" s="4" t="s">
        <v>5</v>
      </c>
      <c r="E4" s="4" t="s">
        <v>6</v>
      </c>
      <c r="F4" s="5" t="s">
        <v>3</v>
      </c>
      <c r="G4" s="6" t="s">
        <v>4</v>
      </c>
    </row>
    <row r="5" spans="1:7" ht="15.75">
      <c r="B5" s="7" t="s">
        <v>7</v>
      </c>
      <c r="C5" s="8" t="s">
        <v>1</v>
      </c>
      <c r="D5" s="9" t="s">
        <v>91</v>
      </c>
      <c r="E5" s="9" t="s">
        <v>93</v>
      </c>
      <c r="F5" s="9" t="s">
        <v>94</v>
      </c>
      <c r="G5" s="10" t="s">
        <v>2</v>
      </c>
    </row>
    <row r="6" spans="1:7">
      <c r="A6" s="11" t="s">
        <v>10</v>
      </c>
      <c r="B6" s="12"/>
      <c r="C6" s="13"/>
      <c r="D6" s="14"/>
      <c r="E6" s="14"/>
      <c r="F6" s="14"/>
      <c r="G6" s="15"/>
    </row>
    <row r="7" spans="1:7" ht="15.75">
      <c r="A7" s="16" t="s">
        <v>11</v>
      </c>
      <c r="B7" s="53">
        <f>3000</f>
        <v>3000</v>
      </c>
      <c r="C7" s="47">
        <v>3000</v>
      </c>
      <c r="D7" s="19"/>
      <c r="E7" s="19"/>
      <c r="F7" s="46"/>
      <c r="G7" s="47">
        <v>3000</v>
      </c>
    </row>
    <row r="8" spans="1:7" ht="15.75">
      <c r="A8" s="16" t="s">
        <v>12</v>
      </c>
      <c r="B8" s="54">
        <f>482+1631+1920</f>
        <v>4033</v>
      </c>
      <c r="C8" s="18">
        <v>4000</v>
      </c>
      <c r="D8" s="19"/>
      <c r="E8" s="19">
        <v>1973.94</v>
      </c>
      <c r="F8" s="19">
        <f>1974</f>
        <v>1974</v>
      </c>
      <c r="G8" s="18">
        <v>4000</v>
      </c>
    </row>
    <row r="9" spans="1:7" ht="15.75">
      <c r="A9" s="16" t="s">
        <v>13</v>
      </c>
      <c r="B9" s="54">
        <f>100+21</f>
        <v>121</v>
      </c>
      <c r="C9" s="18">
        <v>0</v>
      </c>
      <c r="D9" s="19"/>
      <c r="E9" s="19">
        <v>48.2</v>
      </c>
      <c r="F9" s="19">
        <f>48</f>
        <v>48</v>
      </c>
      <c r="G9" s="18">
        <v>0</v>
      </c>
    </row>
    <row r="10" spans="1:7" ht="15.75">
      <c r="A10" s="16" t="s">
        <v>14</v>
      </c>
      <c r="B10" s="54">
        <f>14547+3007+5000</f>
        <v>22554</v>
      </c>
      <c r="C10" s="18">
        <v>16000</v>
      </c>
      <c r="D10" s="19"/>
      <c r="E10" s="19"/>
      <c r="F10" s="19">
        <f>7475+7819</f>
        <v>15294</v>
      </c>
      <c r="G10" s="18">
        <v>16000</v>
      </c>
    </row>
    <row r="11" spans="1:7" ht="15.75">
      <c r="A11" s="16" t="s">
        <v>15</v>
      </c>
      <c r="B11" s="54">
        <f>287+239</f>
        <v>526</v>
      </c>
      <c r="C11" s="18">
        <v>1000</v>
      </c>
      <c r="D11" s="19"/>
      <c r="E11" s="19"/>
      <c r="F11" s="19"/>
      <c r="G11" s="18">
        <v>0</v>
      </c>
    </row>
    <row r="12" spans="1:7" ht="15.75">
      <c r="A12" s="16" t="s">
        <v>16</v>
      </c>
      <c r="B12" s="54">
        <f>476+1198+98+165+376+1675+325</f>
        <v>4313</v>
      </c>
      <c r="C12" s="18">
        <v>2800</v>
      </c>
      <c r="D12" s="19">
        <v>490.71</v>
      </c>
      <c r="E12" s="19">
        <v>118.5</v>
      </c>
      <c r="F12" s="19">
        <f>322+349+491+119</f>
        <v>1281</v>
      </c>
      <c r="G12" s="18">
        <v>3000</v>
      </c>
    </row>
    <row r="13" spans="1:7" ht="15.75">
      <c r="A13" s="16" t="s">
        <v>17</v>
      </c>
      <c r="B13" s="54">
        <f>455+1845+881+205+25+25</f>
        <v>3436</v>
      </c>
      <c r="C13" s="18">
        <v>1000</v>
      </c>
      <c r="D13" s="19"/>
      <c r="E13" s="19"/>
      <c r="F13" s="19">
        <f>1780+85</f>
        <v>1865</v>
      </c>
      <c r="G13" s="18">
        <v>2000</v>
      </c>
    </row>
    <row r="14" spans="1:7" ht="15.75">
      <c r="A14" s="16" t="s">
        <v>18</v>
      </c>
      <c r="B14" s="53">
        <f>66370+100</f>
        <v>66470</v>
      </c>
      <c r="C14" s="47">
        <v>45000</v>
      </c>
      <c r="D14" s="19">
        <v>100</v>
      </c>
      <c r="E14" s="19"/>
      <c r="F14" s="46">
        <f>100+200+57619+100</f>
        <v>58019</v>
      </c>
      <c r="G14" s="47">
        <v>50000</v>
      </c>
    </row>
    <row r="15" spans="1:7" ht="15.75">
      <c r="A15" s="16" t="s">
        <v>19</v>
      </c>
      <c r="B15" s="54">
        <f>235.34+29</f>
        <v>264.34000000000003</v>
      </c>
      <c r="C15" s="18">
        <v>500</v>
      </c>
      <c r="D15" s="19">
        <v>943</v>
      </c>
      <c r="E15" s="19"/>
      <c r="F15" s="19"/>
      <c r="G15" s="18">
        <v>250</v>
      </c>
    </row>
    <row r="16" spans="1:7" ht="15.75">
      <c r="A16" s="16" t="s">
        <v>20</v>
      </c>
      <c r="B16" s="54">
        <f>4500</f>
        <v>4500</v>
      </c>
      <c r="C16" s="18">
        <v>7500</v>
      </c>
      <c r="D16" s="19"/>
      <c r="E16" s="19"/>
      <c r="F16" s="19"/>
      <c r="G16" s="18">
        <v>4500</v>
      </c>
    </row>
    <row r="17" spans="1:8" ht="15.75">
      <c r="A17" s="16" t="s">
        <v>21</v>
      </c>
      <c r="B17" s="64">
        <v>19859</v>
      </c>
      <c r="C17" s="18">
        <v>0</v>
      </c>
      <c r="D17" s="19"/>
      <c r="E17" s="19"/>
      <c r="F17" s="19"/>
      <c r="G17" s="18">
        <v>17000</v>
      </c>
    </row>
    <row r="18" spans="1:8" ht="15.75">
      <c r="A18" s="16" t="s">
        <v>22</v>
      </c>
      <c r="B18" s="54">
        <f>3.74+3.74+3.62+3.74+3.62+3.74+4+3+4.74+4+4+4</f>
        <v>45.940000000000005</v>
      </c>
      <c r="C18" s="18">
        <v>50</v>
      </c>
      <c r="D18" s="19">
        <v>3.74</v>
      </c>
      <c r="E18" s="19">
        <v>3.73</v>
      </c>
      <c r="F18" s="19">
        <f>4+4+4+4+4+4+4</f>
        <v>28</v>
      </c>
      <c r="G18" s="18">
        <v>50</v>
      </c>
    </row>
    <row r="19" spans="1:8" ht="15.75">
      <c r="A19" s="20" t="s">
        <v>23</v>
      </c>
      <c r="B19" s="53">
        <f>120+1600</f>
        <v>1720</v>
      </c>
      <c r="C19" s="47">
        <v>0</v>
      </c>
      <c r="D19" s="19"/>
      <c r="E19" s="19"/>
      <c r="F19" s="46">
        <f>40+40</f>
        <v>80</v>
      </c>
      <c r="G19" s="47">
        <v>0</v>
      </c>
    </row>
    <row r="20" spans="1:8" ht="15.75">
      <c r="A20" s="16" t="s">
        <v>24</v>
      </c>
      <c r="B20" s="53">
        <f>76.5+944+281-435+13+13</f>
        <v>892.5</v>
      </c>
      <c r="C20" s="47">
        <v>1000</v>
      </c>
      <c r="D20" s="19"/>
      <c r="E20" s="19">
        <v>25.5</v>
      </c>
      <c r="F20" s="46">
        <f>102+536+306+13+26</f>
        <v>983</v>
      </c>
      <c r="G20" s="47">
        <v>800</v>
      </c>
    </row>
    <row r="21" spans="1:8" ht="15.75">
      <c r="A21" s="16" t="s">
        <v>25</v>
      </c>
      <c r="B21" s="53">
        <f>1400</f>
        <v>1400</v>
      </c>
      <c r="C21" s="47">
        <v>0</v>
      </c>
      <c r="D21" s="19"/>
      <c r="E21" s="19">
        <v>240</v>
      </c>
      <c r="F21" s="46">
        <f>240</f>
        <v>240</v>
      </c>
      <c r="G21" s="47">
        <v>0</v>
      </c>
    </row>
    <row r="22" spans="1:8" ht="15.75">
      <c r="A22" s="20" t="s">
        <v>26</v>
      </c>
      <c r="B22" s="64">
        <v>91181</v>
      </c>
      <c r="C22" s="18">
        <v>60000</v>
      </c>
      <c r="D22" s="19"/>
      <c r="E22" s="19"/>
      <c r="F22" s="19"/>
      <c r="G22" s="18">
        <v>80000</v>
      </c>
    </row>
    <row r="23" spans="1:8" ht="15.75">
      <c r="A23" s="16" t="s">
        <v>27</v>
      </c>
      <c r="B23" s="53">
        <f>-161+1247+365</f>
        <v>1451</v>
      </c>
      <c r="C23" s="47">
        <v>2000</v>
      </c>
      <c r="D23" s="19">
        <v>1471.6</v>
      </c>
      <c r="E23" s="19">
        <v>327.2</v>
      </c>
      <c r="F23" s="46">
        <f>1472+327</f>
        <v>1799</v>
      </c>
      <c r="G23" s="47">
        <v>1500</v>
      </c>
    </row>
    <row r="24" spans="1:8" ht="15.75">
      <c r="A24" s="16" t="s">
        <v>28</v>
      </c>
      <c r="B24" s="54"/>
      <c r="C24" s="18">
        <v>25000</v>
      </c>
      <c r="D24" s="19"/>
      <c r="E24" s="19"/>
      <c r="F24" s="19"/>
      <c r="G24" s="18">
        <v>0</v>
      </c>
    </row>
    <row r="25" spans="1:8" ht="15.75">
      <c r="A25" s="16" t="s">
        <v>29</v>
      </c>
      <c r="B25" s="54">
        <f>3207</f>
        <v>3207</v>
      </c>
      <c r="C25" s="18">
        <v>5000</v>
      </c>
      <c r="D25" s="19"/>
      <c r="E25" s="19"/>
      <c r="F25" s="19">
        <f>4270</f>
        <v>4270</v>
      </c>
      <c r="G25" s="18">
        <v>3200</v>
      </c>
    </row>
    <row r="26" spans="1:8" ht="15.75">
      <c r="A26" s="20" t="s">
        <v>30</v>
      </c>
      <c r="B26" s="54">
        <f>7204.4+32335+13935+1757+1570+13396+7810+1725+510+1790+894+680</f>
        <v>83606.399999999994</v>
      </c>
      <c r="C26" s="18">
        <v>85000</v>
      </c>
      <c r="D26" s="19">
        <v>10975</v>
      </c>
      <c r="E26" s="19">
        <v>6271.64</v>
      </c>
      <c r="F26" s="19">
        <f>465+10765+4810+2313+422+10975+6272</f>
        <v>36022</v>
      </c>
      <c r="G26" s="18">
        <v>75000</v>
      </c>
    </row>
    <row r="27" spans="1:8" ht="15.75">
      <c r="A27" s="16" t="s">
        <v>31</v>
      </c>
      <c r="B27" s="53">
        <f>2593.36+469+510</f>
        <v>3572.36</v>
      </c>
      <c r="C27" s="47">
        <v>2000</v>
      </c>
      <c r="D27" s="19"/>
      <c r="E27" s="19"/>
      <c r="F27" s="46"/>
      <c r="G27" s="47">
        <v>2000</v>
      </c>
    </row>
    <row r="28" spans="1:8" ht="15.75">
      <c r="A28" s="21" t="s">
        <v>32</v>
      </c>
      <c r="B28" s="55">
        <f>SUM(B6:B27)</f>
        <v>316152.53999999998</v>
      </c>
      <c r="C28" s="22">
        <f>SUM(C7:C27)</f>
        <v>260850</v>
      </c>
      <c r="D28" s="23">
        <f>SUM(D6:D27)</f>
        <v>13984.05</v>
      </c>
      <c r="E28" s="23">
        <f>SUM(E6:E27)</f>
        <v>9008.7100000000009</v>
      </c>
      <c r="F28" s="23">
        <f>SUM(F6:F27)</f>
        <v>121903</v>
      </c>
      <c r="G28" s="22">
        <f>SUM(G7:G27)</f>
        <v>262300</v>
      </c>
      <c r="H28" s="11"/>
    </row>
    <row r="29" spans="1:8" ht="15.75">
      <c r="A29" s="21" t="s">
        <v>33</v>
      </c>
      <c r="B29" s="54"/>
      <c r="C29" s="25"/>
      <c r="D29" s="19"/>
      <c r="E29" s="19"/>
      <c r="F29" s="19"/>
      <c r="G29" s="25"/>
    </row>
    <row r="30" spans="1:8" ht="15.75">
      <c r="A30" s="16" t="s">
        <v>34</v>
      </c>
      <c r="B30" s="54"/>
      <c r="C30" s="18">
        <v>0</v>
      </c>
      <c r="D30" s="19"/>
      <c r="E30" s="19"/>
      <c r="F30" s="19"/>
      <c r="G30" s="18">
        <v>0</v>
      </c>
    </row>
    <row r="31" spans="1:8" ht="15.75">
      <c r="A31" s="16" t="s">
        <v>35</v>
      </c>
      <c r="B31" s="54">
        <f>-855-284-160-337-71-366-562-424-1202-406</f>
        <v>-4667</v>
      </c>
      <c r="C31" s="18">
        <v>-8000</v>
      </c>
      <c r="D31" s="19">
        <v>-480.63</v>
      </c>
      <c r="E31" s="19"/>
      <c r="F31" s="19">
        <f>-956-414-481</f>
        <v>-1851</v>
      </c>
      <c r="G31" s="18">
        <v>-8000</v>
      </c>
    </row>
    <row r="32" spans="1:8" ht="15.75">
      <c r="A32" s="16" t="s">
        <v>36</v>
      </c>
      <c r="B32" s="54">
        <f>-63.63+-1020.97+-323.69+-3384+-82+-164-41-73-1115-3449</f>
        <v>-9716.2900000000009</v>
      </c>
      <c r="C32" s="18">
        <v>-8000</v>
      </c>
      <c r="D32" s="19">
        <v>-119.83</v>
      </c>
      <c r="E32" s="19">
        <v>-48.9</v>
      </c>
      <c r="F32" s="19">
        <f>-15-343-213-289-5-49-120</f>
        <v>-1034</v>
      </c>
      <c r="G32" s="18">
        <v>-10000</v>
      </c>
    </row>
    <row r="33" spans="1:7" ht="15.75">
      <c r="A33" s="16" t="s">
        <v>37</v>
      </c>
      <c r="B33" s="54"/>
      <c r="C33" s="18">
        <v>-6520</v>
      </c>
      <c r="D33" s="19"/>
      <c r="E33" s="19"/>
      <c r="F33" s="19"/>
      <c r="G33" s="18">
        <v>-6520</v>
      </c>
    </row>
    <row r="34" spans="1:7" ht="15.75">
      <c r="A34" s="16" t="s">
        <v>38</v>
      </c>
      <c r="B34" s="54">
        <f>-385</f>
        <v>-385</v>
      </c>
      <c r="C34" s="18">
        <v>-300</v>
      </c>
      <c r="D34" s="19"/>
      <c r="E34" s="19"/>
      <c r="F34" s="19"/>
      <c r="G34" s="18">
        <v>-400</v>
      </c>
    </row>
    <row r="35" spans="1:7" ht="15.75">
      <c r="A35" s="16" t="s">
        <v>17</v>
      </c>
      <c r="B35" s="53">
        <f>-1013.5+-75+-769</f>
        <v>-1857.5</v>
      </c>
      <c r="C35" s="47">
        <v>-1000</v>
      </c>
      <c r="D35" s="19"/>
      <c r="E35" s="19"/>
      <c r="F35" s="46">
        <f>-350-266</f>
        <v>-616</v>
      </c>
      <c r="G35" s="47">
        <v>-2000</v>
      </c>
    </row>
    <row r="36" spans="1:7" ht="15.75">
      <c r="A36" s="16" t="s">
        <v>39</v>
      </c>
      <c r="B36" s="54"/>
      <c r="C36" s="18">
        <v>-100</v>
      </c>
      <c r="D36" s="19"/>
      <c r="E36" s="19"/>
      <c r="F36" s="19"/>
      <c r="G36" s="18">
        <v>-500</v>
      </c>
    </row>
    <row r="37" spans="1:7" ht="15.75">
      <c r="A37" s="16" t="s">
        <v>40</v>
      </c>
      <c r="B37" s="54">
        <f>-163-118-141-206</f>
        <v>-628</v>
      </c>
      <c r="C37" s="18">
        <v>-500</v>
      </c>
      <c r="D37" s="19"/>
      <c r="E37" s="19"/>
      <c r="F37" s="19"/>
      <c r="G37" s="18">
        <v>-650</v>
      </c>
    </row>
    <row r="38" spans="1:7" ht="15.75">
      <c r="A38" s="16" t="s">
        <v>12</v>
      </c>
      <c r="B38" s="54"/>
      <c r="C38" s="18">
        <v>-500</v>
      </c>
      <c r="D38" s="19"/>
      <c r="E38" s="19"/>
      <c r="F38" s="19"/>
      <c r="G38" s="18">
        <v>-250</v>
      </c>
    </row>
    <row r="39" spans="1:7" ht="15.75">
      <c r="A39" s="16" t="s">
        <v>14</v>
      </c>
      <c r="B39" s="54">
        <f>-1129+-3126+-2644</f>
        <v>-6899</v>
      </c>
      <c r="C39" s="18">
        <v>-16000</v>
      </c>
      <c r="D39" s="19">
        <v>-497.13</v>
      </c>
      <c r="E39" s="19"/>
      <c r="F39" s="19">
        <f>-8828-497</f>
        <v>-9325</v>
      </c>
      <c r="G39" s="18">
        <v>-10000</v>
      </c>
    </row>
    <row r="40" spans="1:7" ht="15.75">
      <c r="A40" s="16" t="s">
        <v>18</v>
      </c>
      <c r="B40" s="54">
        <f>-88.87</f>
        <v>-88.87</v>
      </c>
      <c r="C40" s="18">
        <v>-1500</v>
      </c>
      <c r="D40" s="19"/>
      <c r="E40" s="19"/>
      <c r="F40" s="19">
        <f>-349</f>
        <v>-349</v>
      </c>
      <c r="G40" s="18">
        <v>-1500</v>
      </c>
    </row>
    <row r="41" spans="1:7" ht="15.75">
      <c r="A41" s="16" t="s">
        <v>26</v>
      </c>
      <c r="B41" s="54">
        <f>-161-2000-3270.08-1176-4142.53-13803-2101-350</f>
        <v>-27003.61</v>
      </c>
      <c r="C41" s="18">
        <v>-24000</v>
      </c>
      <c r="D41" s="19"/>
      <c r="E41" s="19">
        <v>-1790</v>
      </c>
      <c r="F41" s="19">
        <f>-1227-3000-1790</f>
        <v>-6017</v>
      </c>
      <c r="G41" s="18">
        <v>-27000</v>
      </c>
    </row>
    <row r="42" spans="1:7" ht="15.75">
      <c r="A42" s="16" t="s">
        <v>41</v>
      </c>
      <c r="B42" s="54">
        <f>+-308-146-868</f>
        <v>-1322</v>
      </c>
      <c r="C42" s="18">
        <v>-1500</v>
      </c>
      <c r="D42" s="19"/>
      <c r="E42" s="19"/>
      <c r="F42" s="19">
        <f>-1112</f>
        <v>-1112</v>
      </c>
      <c r="G42" s="66">
        <v>-2000</v>
      </c>
    </row>
    <row r="43" spans="1:7" ht="15.75">
      <c r="A43" s="16" t="s">
        <v>42</v>
      </c>
      <c r="B43" s="54">
        <f>-23700+-11272-19191-22864</f>
        <v>-77027</v>
      </c>
      <c r="C43" s="18">
        <v>-90000</v>
      </c>
      <c r="D43" s="19"/>
      <c r="E43" s="19"/>
      <c r="F43" s="19">
        <f>-17634-10903</f>
        <v>-28537</v>
      </c>
      <c r="G43" s="18">
        <v>-95000</v>
      </c>
    </row>
    <row r="44" spans="1:7" ht="15.75">
      <c r="A44" s="16" t="s">
        <v>43</v>
      </c>
      <c r="B44" s="54">
        <v>-272</v>
      </c>
      <c r="C44" s="18">
        <v>-300</v>
      </c>
      <c r="D44" s="19"/>
      <c r="E44" s="19">
        <v>-150</v>
      </c>
      <c r="F44" s="19">
        <f>-282-150</f>
        <v>-432</v>
      </c>
      <c r="G44" s="18">
        <v>-300</v>
      </c>
    </row>
    <row r="45" spans="1:7" ht="15.75">
      <c r="A45" s="16" t="s">
        <v>90</v>
      </c>
      <c r="B45" s="54">
        <f>-910-940-61</f>
        <v>-1911</v>
      </c>
      <c r="C45" s="18">
        <v>-2000</v>
      </c>
      <c r="D45" s="19"/>
      <c r="E45" s="19"/>
      <c r="F45" s="19">
        <f>-197</f>
        <v>-197</v>
      </c>
      <c r="G45" s="18">
        <v>-2000</v>
      </c>
    </row>
    <row r="46" spans="1:7" ht="15.75">
      <c r="A46" s="16" t="s">
        <v>45</v>
      </c>
      <c r="B46" s="53">
        <f>-20000-20000-4000</f>
        <v>-44000</v>
      </c>
      <c r="C46" s="47">
        <v>-44000</v>
      </c>
      <c r="D46" s="19">
        <v>-8279.5</v>
      </c>
      <c r="E46" s="19"/>
      <c r="F46" s="46">
        <f>-8280</f>
        <v>-8280</v>
      </c>
      <c r="G46" s="47">
        <v>-17000</v>
      </c>
    </row>
    <row r="47" spans="1:7" ht="15.75">
      <c r="A47" s="16" t="s">
        <v>46</v>
      </c>
      <c r="B47" s="54"/>
      <c r="C47" s="18">
        <v>0</v>
      </c>
      <c r="D47" s="19"/>
      <c r="E47" s="19"/>
      <c r="F47" s="19"/>
      <c r="G47" s="18">
        <v>0</v>
      </c>
    </row>
    <row r="48" spans="1:7" ht="15.75">
      <c r="A48" s="16" t="s">
        <v>47</v>
      </c>
      <c r="B48" s="54">
        <f>-704</f>
        <v>-704</v>
      </c>
      <c r="C48" s="18">
        <v>-750</v>
      </c>
      <c r="D48" s="19"/>
      <c r="E48" s="19">
        <v>-528.73</v>
      </c>
      <c r="F48" s="19">
        <f>-529</f>
        <v>-529</v>
      </c>
      <c r="G48" s="18">
        <v>-1000</v>
      </c>
    </row>
    <row r="49" spans="1:9" ht="15.75">
      <c r="A49" s="16" t="s">
        <v>48</v>
      </c>
      <c r="B49" s="54">
        <f>-14.99+-14.99+-14.99+-379+-15+-15-990-16-16-16-365</f>
        <v>-1856.97</v>
      </c>
      <c r="C49" s="18">
        <v>-1500</v>
      </c>
      <c r="D49" s="19">
        <v>-55.59</v>
      </c>
      <c r="E49" s="19">
        <v>-135.87</v>
      </c>
      <c r="F49" s="19">
        <f>-16-16-16-436-16-136-56</f>
        <v>-692</v>
      </c>
      <c r="G49" s="18">
        <v>-2000</v>
      </c>
    </row>
    <row r="50" spans="1:9" ht="15.75">
      <c r="A50" s="16" t="s">
        <v>49</v>
      </c>
      <c r="B50" s="54">
        <f>-14572+-9657-14486</f>
        <v>-38715</v>
      </c>
      <c r="C50" s="18">
        <v>-60000</v>
      </c>
      <c r="D50" s="19"/>
      <c r="E50" s="19"/>
      <c r="F50" s="19">
        <f>-14684-8860</f>
        <v>-23544</v>
      </c>
      <c r="G50" s="18">
        <v>-60000</v>
      </c>
    </row>
    <row r="51" spans="1:9" ht="15.75">
      <c r="A51" s="16" t="s">
        <v>50</v>
      </c>
      <c r="B51" s="54">
        <f>-720</f>
        <v>-720</v>
      </c>
      <c r="C51" s="18">
        <v>0</v>
      </c>
      <c r="D51" s="19">
        <v>-101.3</v>
      </c>
      <c r="E51" s="19"/>
      <c r="F51" s="19">
        <f>-101</f>
        <v>-101</v>
      </c>
      <c r="G51" s="18">
        <v>-800</v>
      </c>
    </row>
    <row r="52" spans="1:9" ht="15.75">
      <c r="A52" s="16" t="s">
        <v>51</v>
      </c>
      <c r="B52" s="54">
        <f>-438</f>
        <v>-438</v>
      </c>
      <c r="C52" s="18">
        <v>-500</v>
      </c>
      <c r="D52" s="19"/>
      <c r="E52" s="19"/>
      <c r="F52" s="19"/>
      <c r="G52" s="18">
        <v>-500</v>
      </c>
    </row>
    <row r="53" spans="1:9" ht="15.75">
      <c r="A53" s="16" t="s">
        <v>52</v>
      </c>
      <c r="B53" s="54"/>
      <c r="C53" s="18">
        <v>-2000</v>
      </c>
      <c r="D53" s="19"/>
      <c r="E53" s="19"/>
      <c r="F53" s="19">
        <f>-660</f>
        <v>-660</v>
      </c>
      <c r="G53" s="18">
        <v>-2000</v>
      </c>
    </row>
    <row r="54" spans="1:9" ht="15.75">
      <c r="A54" s="16" t="s">
        <v>53</v>
      </c>
      <c r="B54" s="53">
        <f>-639.73+-455-430</f>
        <v>-1524.73</v>
      </c>
      <c r="C54" s="47">
        <v>-2400</v>
      </c>
      <c r="D54" s="19"/>
      <c r="E54" s="19"/>
      <c r="G54" s="47">
        <v>-2000</v>
      </c>
    </row>
    <row r="55" spans="1:9" ht="15.75">
      <c r="A55" s="16" t="s">
        <v>54</v>
      </c>
      <c r="B55" s="54">
        <f>-1200</f>
        <v>-1200</v>
      </c>
      <c r="C55" s="18">
        <v>-10000</v>
      </c>
      <c r="D55" s="19"/>
      <c r="E55" s="19">
        <v>-2700</v>
      </c>
      <c r="F55" s="46">
        <f>-2700-2700</f>
        <v>-5400</v>
      </c>
      <c r="G55" s="18">
        <v>-10000</v>
      </c>
    </row>
    <row r="56" spans="1:9" ht="15.75">
      <c r="A56" s="16" t="s">
        <v>55</v>
      </c>
      <c r="B56" s="54">
        <f>-72+-379.66+-409</f>
        <v>-860.66000000000008</v>
      </c>
      <c r="C56" s="18">
        <v>-400</v>
      </c>
      <c r="D56" s="19"/>
      <c r="E56" s="19"/>
      <c r="F56" s="19">
        <f>-144-312</f>
        <v>-456</v>
      </c>
      <c r="G56" s="18">
        <v>-1000</v>
      </c>
      <c r="I56" s="62"/>
    </row>
    <row r="57" spans="1:9" ht="15.75">
      <c r="A57" s="16" t="s">
        <v>31</v>
      </c>
      <c r="B57" s="54">
        <f>-2025.9</f>
        <v>-2025.9</v>
      </c>
      <c r="C57" s="18">
        <v>-2000</v>
      </c>
      <c r="D57" s="19"/>
      <c r="E57" s="19"/>
      <c r="F57" s="19">
        <f>-2261</f>
        <v>-2261</v>
      </c>
      <c r="G57" s="18">
        <v>-2261</v>
      </c>
    </row>
    <row r="58" spans="1:9" ht="15.75">
      <c r="A58" s="16" t="s">
        <v>11</v>
      </c>
      <c r="B58" s="53">
        <f>-698-457-680-158</f>
        <v>-1993</v>
      </c>
      <c r="C58" s="47">
        <v>-2500</v>
      </c>
      <c r="D58" s="19">
        <v>-564.21</v>
      </c>
      <c r="E58" s="19"/>
      <c r="F58" s="46">
        <f>-564</f>
        <v>-564</v>
      </c>
      <c r="G58" s="47">
        <v>-2000</v>
      </c>
    </row>
    <row r="59" spans="1:9">
      <c r="A59" s="26" t="s">
        <v>56</v>
      </c>
      <c r="B59" s="54">
        <f>-172+-3262+-600-1627-4837-4878-3856</f>
        <v>-19232</v>
      </c>
      <c r="C59" s="18">
        <f>-9655-14198</f>
        <v>-23853</v>
      </c>
      <c r="D59" s="19">
        <v>-450.01</v>
      </c>
      <c r="E59" s="19">
        <v>-87.13</v>
      </c>
      <c r="F59" s="19">
        <f>-1141-87-450</f>
        <v>-1678</v>
      </c>
      <c r="G59" s="18">
        <v>-17500</v>
      </c>
    </row>
    <row r="60" spans="1:9">
      <c r="A60" s="26" t="s">
        <v>85</v>
      </c>
      <c r="B60" s="56">
        <f>-8627.84-1150</f>
        <v>-9777.84</v>
      </c>
      <c r="C60" s="49">
        <v>-14253</v>
      </c>
      <c r="D60" s="19"/>
      <c r="E60" s="19"/>
      <c r="F60" s="48">
        <f>-5325-1520</f>
        <v>-6845</v>
      </c>
      <c r="G60" s="49">
        <v>-19800</v>
      </c>
    </row>
    <row r="61" spans="1:9" ht="15.75">
      <c r="A61" s="21" t="s">
        <v>58</v>
      </c>
      <c r="B61" s="57">
        <f>SUM(B29:B60)</f>
        <v>-254825.37000000002</v>
      </c>
      <c r="C61" s="60">
        <f>SUM(C29:C60)</f>
        <v>-324376</v>
      </c>
      <c r="D61" s="63">
        <f>SUM(D29:D60)</f>
        <v>-10548.199999999999</v>
      </c>
      <c r="E61" s="61">
        <f>SUM(E29:E60)</f>
        <v>-5440.63</v>
      </c>
      <c r="F61" s="27">
        <f>SUM(F29:F60)</f>
        <v>-100480</v>
      </c>
      <c r="G61" s="28">
        <f>SUM(G29:G60)</f>
        <v>-303981</v>
      </c>
      <c r="H61" s="11"/>
    </row>
    <row r="62" spans="1:9">
      <c r="A62" s="29"/>
      <c r="B62" s="54"/>
      <c r="C62" s="24"/>
      <c r="D62" s="19"/>
      <c r="E62" s="19"/>
      <c r="F62" s="19"/>
      <c r="G62" s="24"/>
    </row>
    <row r="63" spans="1:9" ht="15.75">
      <c r="A63" s="21" t="s">
        <v>59</v>
      </c>
      <c r="B63" s="55">
        <f>B28+B61</f>
        <v>61327.169999999955</v>
      </c>
      <c r="C63" s="22">
        <f>C28+C61</f>
        <v>-63526</v>
      </c>
      <c r="D63" s="23">
        <f>D28+D61</f>
        <v>3435.8500000000004</v>
      </c>
      <c r="E63" s="23">
        <f>E28+E61</f>
        <v>3568.0800000000008</v>
      </c>
      <c r="F63" s="23">
        <f>F28+F61</f>
        <v>21423</v>
      </c>
      <c r="G63" s="22">
        <f>G28+G61</f>
        <v>-41681</v>
      </c>
      <c r="H63" s="11"/>
    </row>
    <row r="64" spans="1:9">
      <c r="A64" s="29"/>
      <c r="B64" s="17"/>
      <c r="C64" s="24"/>
      <c r="D64" s="19"/>
      <c r="E64" s="19"/>
      <c r="F64" s="19"/>
      <c r="G64" s="24"/>
    </row>
    <row r="65" spans="1:8">
      <c r="A65" t="s">
        <v>60</v>
      </c>
      <c r="B65" s="30">
        <v>312815</v>
      </c>
      <c r="C65" s="31">
        <f>B65</f>
        <v>312815</v>
      </c>
      <c r="D65" s="32"/>
      <c r="E65" s="32"/>
      <c r="F65" s="32">
        <f>B66</f>
        <v>374142.16999999993</v>
      </c>
      <c r="G65" s="31">
        <f>F65</f>
        <v>374142.16999999993</v>
      </c>
    </row>
    <row r="66" spans="1:8">
      <c r="A66" t="s">
        <v>61</v>
      </c>
      <c r="B66" s="33">
        <f>B65+B63</f>
        <v>374142.16999999993</v>
      </c>
      <c r="C66" s="34">
        <f>C65+C63</f>
        <v>249289</v>
      </c>
      <c r="D66" s="35"/>
      <c r="E66" s="35"/>
      <c r="F66" s="35">
        <f>F65+F63</f>
        <v>395565.16999999993</v>
      </c>
      <c r="G66" s="36">
        <f>G65+G63</f>
        <v>332461.16999999993</v>
      </c>
    </row>
    <row r="67" spans="1:8">
      <c r="B67" s="37"/>
      <c r="C67" s="14"/>
      <c r="D67" s="14"/>
      <c r="E67" s="14"/>
    </row>
    <row r="68" spans="1:8">
      <c r="A68" s="38" t="s">
        <v>62</v>
      </c>
      <c r="B68" s="39" t="s">
        <v>63</v>
      </c>
      <c r="C68" s="39" t="s">
        <v>64</v>
      </c>
      <c r="D68" s="39"/>
      <c r="E68" s="39"/>
      <c r="F68" s="39" t="s">
        <v>63</v>
      </c>
      <c r="G68" s="39" t="s">
        <v>64</v>
      </c>
      <c r="H68" s="39"/>
    </row>
    <row r="69" spans="1:8">
      <c r="A69" s="40" t="s">
        <v>65</v>
      </c>
      <c r="B69" s="41">
        <v>0</v>
      </c>
      <c r="C69" s="41">
        <v>0</v>
      </c>
      <c r="D69" s="41"/>
      <c r="E69" s="41"/>
      <c r="F69" s="41">
        <v>0</v>
      </c>
      <c r="G69" s="41">
        <v>0</v>
      </c>
    </row>
    <row r="70" spans="1:8">
      <c r="A70" s="40" t="s">
        <v>66</v>
      </c>
      <c r="B70" s="41">
        <v>14198</v>
      </c>
      <c r="C70" s="41">
        <v>12212</v>
      </c>
      <c r="D70" s="41"/>
      <c r="E70" s="41"/>
      <c r="F70" s="41">
        <v>0</v>
      </c>
      <c r="G70" s="41">
        <v>0</v>
      </c>
    </row>
    <row r="71" spans="1:8">
      <c r="A71" s="40" t="s">
        <v>67</v>
      </c>
      <c r="B71" s="41">
        <v>0</v>
      </c>
      <c r="C71" s="41">
        <v>7990</v>
      </c>
      <c r="D71" s="41"/>
      <c r="E71" s="41"/>
      <c r="F71" s="41">
        <v>7990</v>
      </c>
      <c r="G71" s="41">
        <v>0</v>
      </c>
    </row>
    <row r="72" spans="1:8">
      <c r="A72" s="40" t="s">
        <v>68</v>
      </c>
      <c r="B72" s="41">
        <v>0</v>
      </c>
      <c r="C72" s="41">
        <v>0</v>
      </c>
      <c r="D72" s="41"/>
      <c r="E72" s="41"/>
      <c r="F72" s="41">
        <v>0</v>
      </c>
      <c r="G72" s="41">
        <v>0</v>
      </c>
    </row>
    <row r="73" spans="1:8">
      <c r="A73" s="42" t="s">
        <v>69</v>
      </c>
      <c r="B73" s="41">
        <v>3426.56</v>
      </c>
      <c r="C73" s="41">
        <v>5269.75</v>
      </c>
      <c r="D73" s="41"/>
      <c r="E73" s="41"/>
      <c r="F73" s="41">
        <f>C73</f>
        <v>5269.75</v>
      </c>
      <c r="G73" s="41">
        <v>0</v>
      </c>
    </row>
    <row r="74" spans="1:8">
      <c r="A74" s="40" t="s">
        <v>70</v>
      </c>
      <c r="B74" s="41">
        <v>0</v>
      </c>
      <c r="C74" s="41">
        <v>324.36</v>
      </c>
      <c r="D74" s="41"/>
      <c r="E74" s="41"/>
      <c r="F74" s="41">
        <f>C74</f>
        <v>324.36</v>
      </c>
      <c r="G74" s="41">
        <v>324.36</v>
      </c>
    </row>
    <row r="75" spans="1:8">
      <c r="A75" t="s">
        <v>71</v>
      </c>
      <c r="B75" s="41">
        <v>3000</v>
      </c>
      <c r="C75" s="41">
        <v>3000</v>
      </c>
      <c r="D75" s="41"/>
      <c r="E75" s="41"/>
      <c r="F75" s="41">
        <f>C75</f>
        <v>3000</v>
      </c>
      <c r="G75" s="41">
        <f t="shared" ref="G75" si="0">F75</f>
        <v>3000</v>
      </c>
    </row>
    <row r="76" spans="1:8">
      <c r="A76" t="s">
        <v>72</v>
      </c>
      <c r="B76" s="41">
        <v>0</v>
      </c>
      <c r="C76" s="41">
        <v>0</v>
      </c>
      <c r="D76" s="41"/>
      <c r="E76" s="41"/>
      <c r="F76" s="41">
        <v>0</v>
      </c>
      <c r="G76" s="41">
        <v>0</v>
      </c>
    </row>
    <row r="77" spans="1:8">
      <c r="A77" t="s">
        <v>73</v>
      </c>
      <c r="B77" s="41">
        <v>0</v>
      </c>
      <c r="C77" s="41">
        <v>14253.01</v>
      </c>
      <c r="D77" s="41"/>
      <c r="E77" s="41"/>
      <c r="F77" s="41">
        <f>C77-8627.84-1150</f>
        <v>4475.17</v>
      </c>
      <c r="G77" s="41">
        <v>0</v>
      </c>
    </row>
    <row r="78" spans="1:8">
      <c r="A78" t="s">
        <v>74</v>
      </c>
      <c r="B78" s="41">
        <v>0</v>
      </c>
      <c r="C78" s="41">
        <v>19589</v>
      </c>
      <c r="D78" s="41"/>
      <c r="E78" s="41"/>
      <c r="F78" s="41">
        <v>19589</v>
      </c>
      <c r="G78" s="41">
        <v>0</v>
      </c>
    </row>
    <row r="79" spans="1:8">
      <c r="A79" t="s">
        <v>75</v>
      </c>
      <c r="B79" s="41">
        <v>110000</v>
      </c>
      <c r="C79" s="41">
        <v>126000</v>
      </c>
      <c r="D79" s="41"/>
      <c r="E79" s="41"/>
      <c r="F79" s="41">
        <v>150000</v>
      </c>
      <c r="G79" s="41">
        <f>F79</f>
        <v>150000</v>
      </c>
    </row>
    <row r="80" spans="1:8">
      <c r="B80" s="41"/>
      <c r="C80" s="41"/>
      <c r="D80" s="41"/>
      <c r="E80" s="41"/>
      <c r="F80" s="41"/>
      <c r="G80" s="41"/>
    </row>
    <row r="81" spans="1:8">
      <c r="A81" s="43" t="s">
        <v>77</v>
      </c>
      <c r="B81" s="44">
        <f>SUM(B69:B79)</f>
        <v>130624.56</v>
      </c>
      <c r="C81" s="44">
        <f>SUM(C69:C79)</f>
        <v>188638.12</v>
      </c>
      <c r="D81" s="44"/>
      <c r="E81" s="44"/>
      <c r="F81" s="44">
        <f>SUM(F69:F79)</f>
        <v>190648.28</v>
      </c>
      <c r="G81" s="44">
        <f>SUM(G69:G79)</f>
        <v>153324.35999999999</v>
      </c>
      <c r="H81" s="45"/>
    </row>
    <row r="82" spans="1:8">
      <c r="A82" s="43" t="s">
        <v>78</v>
      </c>
      <c r="B82" s="44">
        <f>B65-B81</f>
        <v>182190.44</v>
      </c>
      <c r="C82" s="44">
        <f>B66-C81</f>
        <v>185504.04999999993</v>
      </c>
      <c r="D82" s="44"/>
      <c r="E82" s="44"/>
      <c r="F82" s="44">
        <f>F65-F81</f>
        <v>183493.88999999993</v>
      </c>
      <c r="G82" s="44">
        <f>G66-G81</f>
        <v>179136.80999999994</v>
      </c>
      <c r="H82" s="45"/>
    </row>
    <row r="83" spans="1:8">
      <c r="A83" s="43" t="s">
        <v>79</v>
      </c>
      <c r="B83" s="44">
        <f>SUM(B81:B82)</f>
        <v>312815</v>
      </c>
      <c r="C83" s="44">
        <f t="shared" ref="C83:G83" si="1">SUM(C81:C82)</f>
        <v>374142.16999999993</v>
      </c>
      <c r="D83" s="44"/>
      <c r="E83" s="44"/>
      <c r="F83" s="44">
        <f t="shared" si="1"/>
        <v>374142.16999999993</v>
      </c>
      <c r="G83" s="44">
        <f t="shared" si="1"/>
        <v>332461.16999999993</v>
      </c>
      <c r="H83" s="45"/>
    </row>
  </sheetData>
  <mergeCells count="2">
    <mergeCell ref="B3:C3"/>
    <mergeCell ref="D3:G3"/>
  </mergeCells>
  <pageMargins left="0.7" right="0.7" top="0.75" bottom="0.75" header="0.3" footer="0.3"/>
  <pageSetup fitToHeight="0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Petrov</dc:creator>
  <cp:keywords/>
  <dc:description/>
  <cp:lastModifiedBy>VVPTA President</cp:lastModifiedBy>
  <cp:revision/>
  <dcterms:created xsi:type="dcterms:W3CDTF">2022-08-13T19:01:59Z</dcterms:created>
  <dcterms:modified xsi:type="dcterms:W3CDTF">2024-03-13T01:33:33Z</dcterms:modified>
  <cp:category/>
  <cp:contentStatus/>
</cp:coreProperties>
</file>