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721" documentId="8_{DF5E401E-20B6-4EDF-99F1-99D2B74A958E}" xr6:coauthVersionLast="47" xr6:coauthVersionMax="47" xr10:uidLastSave="{A18B4C3C-E6B0-4DA4-9B88-C1F1A53F6F09}"/>
  <bookViews>
    <workbookView xWindow="-120" yWindow="-120" windowWidth="29040" windowHeight="15840" firstSheet="7" activeTab="8" xr2:uid="{B88C7FD0-E993-466A-A8F7-EDEFF2F105CF}"/>
  </bookViews>
  <sheets>
    <sheet name="2023-2024 Budget" sheetId="2" r:id="rId1"/>
    <sheet name="2023-2024 Budget Proposal" sheetId="13" r:id="rId2"/>
    <sheet name="July 2023" sheetId="14" r:id="rId3"/>
    <sheet name="August 2023 " sheetId="15" r:id="rId4"/>
    <sheet name="September 2023" sheetId="16" r:id="rId5"/>
    <sheet name="October 2023" sheetId="17" r:id="rId6"/>
    <sheet name="November 2023" sheetId="18" r:id="rId7"/>
    <sheet name="December 2023" sheetId="19" r:id="rId8"/>
    <sheet name="January 2024" sheetId="2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9" l="1"/>
  <c r="F55" i="19"/>
  <c r="F49" i="19"/>
  <c r="F44" i="19"/>
  <c r="F41" i="19"/>
  <c r="F32" i="19"/>
  <c r="F26" i="19"/>
  <c r="F23" i="19"/>
  <c r="F20" i="19"/>
  <c r="F18" i="19"/>
  <c r="F12" i="19"/>
  <c r="C81" i="20"/>
  <c r="B81" i="20"/>
  <c r="G79" i="20"/>
  <c r="F77" i="20"/>
  <c r="F75" i="20"/>
  <c r="G75" i="20" s="1"/>
  <c r="G81" i="20" s="1"/>
  <c r="F74" i="20"/>
  <c r="F73" i="20"/>
  <c r="F81" i="20" s="1"/>
  <c r="C65" i="20"/>
  <c r="G61" i="20"/>
  <c r="E61" i="20"/>
  <c r="D61" i="20"/>
  <c r="F60" i="20"/>
  <c r="B60" i="20"/>
  <c r="F59" i="20"/>
  <c r="C59" i="20"/>
  <c r="C61" i="20" s="1"/>
  <c r="B59" i="20"/>
  <c r="B58" i="20"/>
  <c r="F57" i="20"/>
  <c r="B57" i="20"/>
  <c r="F56" i="20"/>
  <c r="B56" i="20"/>
  <c r="F55" i="20"/>
  <c r="B55" i="20"/>
  <c r="B54" i="20"/>
  <c r="F53" i="20"/>
  <c r="B52" i="20"/>
  <c r="B51" i="20"/>
  <c r="F50" i="20"/>
  <c r="B50" i="20"/>
  <c r="F49" i="20"/>
  <c r="B49" i="20"/>
  <c r="B48" i="20"/>
  <c r="B46" i="20"/>
  <c r="F45" i="20"/>
  <c r="B45" i="20"/>
  <c r="F44" i="20"/>
  <c r="F43" i="20"/>
  <c r="B43" i="20"/>
  <c r="F42" i="20"/>
  <c r="B42" i="20"/>
  <c r="F41" i="20"/>
  <c r="B41" i="20"/>
  <c r="F40" i="20"/>
  <c r="B40" i="20"/>
  <c r="F39" i="20"/>
  <c r="B39" i="20"/>
  <c r="B37" i="20"/>
  <c r="F35" i="20"/>
  <c r="B35" i="20"/>
  <c r="B34" i="20"/>
  <c r="F32" i="20"/>
  <c r="B32" i="20"/>
  <c r="F31" i="20"/>
  <c r="F61" i="20" s="1"/>
  <c r="B31" i="20"/>
  <c r="B61" i="20" s="1"/>
  <c r="G28" i="20"/>
  <c r="G63" i="20" s="1"/>
  <c r="E28" i="20"/>
  <c r="E63" i="20" s="1"/>
  <c r="D28" i="20"/>
  <c r="D63" i="20" s="1"/>
  <c r="C28" i="20"/>
  <c r="C63" i="20" s="1"/>
  <c r="B27" i="20"/>
  <c r="F26" i="20"/>
  <c r="B26" i="20"/>
  <c r="F25" i="20"/>
  <c r="B25" i="20"/>
  <c r="F23" i="20"/>
  <c r="B23" i="20"/>
  <c r="F21" i="20"/>
  <c r="B21" i="20"/>
  <c r="F20" i="20"/>
  <c r="B20" i="20"/>
  <c r="F19" i="20"/>
  <c r="B19" i="20"/>
  <c r="F18" i="20"/>
  <c r="B18" i="20"/>
  <c r="B16" i="20"/>
  <c r="B15" i="20"/>
  <c r="F14" i="20"/>
  <c r="B14" i="20"/>
  <c r="F13" i="20"/>
  <c r="B13" i="20"/>
  <c r="F12" i="20"/>
  <c r="B12" i="20"/>
  <c r="B11" i="20"/>
  <c r="F10" i="20"/>
  <c r="B10" i="20"/>
  <c r="F9" i="20"/>
  <c r="B9" i="20"/>
  <c r="F8" i="20"/>
  <c r="F28" i="20" s="1"/>
  <c r="F63" i="20" s="1"/>
  <c r="B8" i="20"/>
  <c r="B7" i="20"/>
  <c r="B28" i="20" s="1"/>
  <c r="B63" i="20" s="1"/>
  <c r="B66" i="20" s="1"/>
  <c r="F21" i="19"/>
  <c r="F14" i="19"/>
  <c r="C81" i="19"/>
  <c r="B81" i="19"/>
  <c r="G79" i="19"/>
  <c r="F77" i="19"/>
  <c r="F75" i="19"/>
  <c r="G75" i="19" s="1"/>
  <c r="G81" i="19" s="1"/>
  <c r="F74" i="19"/>
  <c r="F73" i="19"/>
  <c r="F81" i="19" s="1"/>
  <c r="C65" i="19"/>
  <c r="G61" i="19"/>
  <c r="E61" i="19"/>
  <c r="D61" i="19"/>
  <c r="F60" i="19"/>
  <c r="B60" i="19"/>
  <c r="C59" i="19"/>
  <c r="C61" i="19" s="1"/>
  <c r="B59" i="19"/>
  <c r="B58" i="19"/>
  <c r="F57" i="19"/>
  <c r="B57" i="19"/>
  <c r="F56" i="19"/>
  <c r="B56" i="19"/>
  <c r="B55" i="19"/>
  <c r="B54" i="19"/>
  <c r="F53" i="19"/>
  <c r="B52" i="19"/>
  <c r="B51" i="19"/>
  <c r="F50" i="19"/>
  <c r="B50" i="19"/>
  <c r="B49" i="19"/>
  <c r="B48" i="19"/>
  <c r="B46" i="19"/>
  <c r="F45" i="19"/>
  <c r="B45" i="19"/>
  <c r="F43" i="19"/>
  <c r="B43" i="19"/>
  <c r="F42" i="19"/>
  <c r="B42" i="19"/>
  <c r="B41" i="19"/>
  <c r="F40" i="19"/>
  <c r="B40" i="19"/>
  <c r="F39" i="19"/>
  <c r="B39" i="19"/>
  <c r="B37" i="19"/>
  <c r="F35" i="19"/>
  <c r="B35" i="19"/>
  <c r="B34" i="19"/>
  <c r="B32" i="19"/>
  <c r="F31" i="19"/>
  <c r="F61" i="19" s="1"/>
  <c r="B31" i="19"/>
  <c r="B61" i="19" s="1"/>
  <c r="G28" i="19"/>
  <c r="G63" i="19" s="1"/>
  <c r="E28" i="19"/>
  <c r="E63" i="19" s="1"/>
  <c r="D28" i="19"/>
  <c r="D63" i="19" s="1"/>
  <c r="C28" i="19"/>
  <c r="C63" i="19" s="1"/>
  <c r="B27" i="19"/>
  <c r="B26" i="19"/>
  <c r="F25" i="19"/>
  <c r="B25" i="19"/>
  <c r="B23" i="19"/>
  <c r="B21" i="19"/>
  <c r="B20" i="19"/>
  <c r="F19" i="19"/>
  <c r="B19" i="19"/>
  <c r="B18" i="19"/>
  <c r="B16" i="19"/>
  <c r="B15" i="19"/>
  <c r="B14" i="19"/>
  <c r="F13" i="19"/>
  <c r="B13" i="19"/>
  <c r="B12" i="19"/>
  <c r="B11" i="19"/>
  <c r="F10" i="19"/>
  <c r="F28" i="19" s="1"/>
  <c r="F63" i="19" s="1"/>
  <c r="B10" i="19"/>
  <c r="B9" i="19"/>
  <c r="B8" i="19"/>
  <c r="B7" i="19"/>
  <c r="B28" i="19" s="1"/>
  <c r="B63" i="19" s="1"/>
  <c r="B66" i="19" s="1"/>
  <c r="F49" i="18"/>
  <c r="F32" i="18"/>
  <c r="F26" i="18"/>
  <c r="F25" i="18"/>
  <c r="F18" i="18"/>
  <c r="F14" i="18"/>
  <c r="F13" i="18"/>
  <c r="F12" i="18"/>
  <c r="F10" i="18"/>
  <c r="C81" i="18"/>
  <c r="B81" i="18"/>
  <c r="G79" i="18"/>
  <c r="F77" i="18"/>
  <c r="F75" i="18"/>
  <c r="G75" i="18" s="1"/>
  <c r="G81" i="18" s="1"/>
  <c r="F74" i="18"/>
  <c r="F73" i="18"/>
  <c r="F81" i="18" s="1"/>
  <c r="C65" i="18"/>
  <c r="G61" i="18"/>
  <c r="E61" i="18"/>
  <c r="D61" i="18"/>
  <c r="F60" i="18"/>
  <c r="B60" i="18"/>
  <c r="F59" i="18"/>
  <c r="C59" i="18"/>
  <c r="C61" i="18" s="1"/>
  <c r="B59" i="18"/>
  <c r="B58" i="18"/>
  <c r="F57" i="18"/>
  <c r="B57" i="18"/>
  <c r="F56" i="18"/>
  <c r="B56" i="18"/>
  <c r="B55" i="18"/>
  <c r="F55" i="18"/>
  <c r="B54" i="18"/>
  <c r="F53" i="18"/>
  <c r="B52" i="18"/>
  <c r="B51" i="18"/>
  <c r="F50" i="18"/>
  <c r="B50" i="18"/>
  <c r="B49" i="18"/>
  <c r="B48" i="18"/>
  <c r="B46" i="18"/>
  <c r="F45" i="18"/>
  <c r="B45" i="18"/>
  <c r="F44" i="18"/>
  <c r="F43" i="18"/>
  <c r="B43" i="18"/>
  <c r="F42" i="18"/>
  <c r="B42" i="18"/>
  <c r="F41" i="18"/>
  <c r="B41" i="18"/>
  <c r="F40" i="18"/>
  <c r="B40" i="18"/>
  <c r="F39" i="18"/>
  <c r="B39" i="18"/>
  <c r="B37" i="18"/>
  <c r="F35" i="18"/>
  <c r="B35" i="18"/>
  <c r="B34" i="18"/>
  <c r="B32" i="18"/>
  <c r="F31" i="18"/>
  <c r="F61" i="18" s="1"/>
  <c r="B31" i="18"/>
  <c r="B61" i="18" s="1"/>
  <c r="G28" i="18"/>
  <c r="G63" i="18" s="1"/>
  <c r="E28" i="18"/>
  <c r="E63" i="18" s="1"/>
  <c r="D28" i="18"/>
  <c r="D63" i="18" s="1"/>
  <c r="C28" i="18"/>
  <c r="C63" i="18" s="1"/>
  <c r="B27" i="18"/>
  <c r="B26" i="18"/>
  <c r="B25" i="18"/>
  <c r="B23" i="18"/>
  <c r="B21" i="18"/>
  <c r="F20" i="18"/>
  <c r="B20" i="18"/>
  <c r="F19" i="18"/>
  <c r="B19" i="18"/>
  <c r="B18" i="18"/>
  <c r="B16" i="18"/>
  <c r="B15" i="18"/>
  <c r="B14" i="18"/>
  <c r="B13" i="18"/>
  <c r="B12" i="18"/>
  <c r="B11" i="18"/>
  <c r="F28" i="18"/>
  <c r="F63" i="18" s="1"/>
  <c r="B10" i="18"/>
  <c r="B9" i="18"/>
  <c r="B8" i="18"/>
  <c r="B7" i="18"/>
  <c r="B28" i="18" s="1"/>
  <c r="B63" i="18" s="1"/>
  <c r="B66" i="18" s="1"/>
  <c r="F60" i="17"/>
  <c r="F59" i="17"/>
  <c r="F54" i="17"/>
  <c r="F53" i="17"/>
  <c r="F50" i="17"/>
  <c r="F49" i="17"/>
  <c r="F45" i="17"/>
  <c r="F44" i="17"/>
  <c r="F43" i="17"/>
  <c r="F41" i="17"/>
  <c r="F40" i="17"/>
  <c r="F39" i="17"/>
  <c r="F35" i="17"/>
  <c r="F32" i="17"/>
  <c r="F31" i="17"/>
  <c r="F26" i="17"/>
  <c r="F20" i="17"/>
  <c r="F18" i="17"/>
  <c r="F14" i="17"/>
  <c r="F12" i="17"/>
  <c r="F10" i="17"/>
  <c r="C81" i="17"/>
  <c r="B81" i="17"/>
  <c r="G79" i="17"/>
  <c r="F77" i="17"/>
  <c r="F75" i="17"/>
  <c r="G75" i="17" s="1"/>
  <c r="G81" i="17" s="1"/>
  <c r="F74" i="17"/>
  <c r="F73" i="17"/>
  <c r="F81" i="17" s="1"/>
  <c r="C65" i="17"/>
  <c r="G61" i="17"/>
  <c r="E61" i="17"/>
  <c r="D61" i="17"/>
  <c r="B60" i="17"/>
  <c r="C59" i="17"/>
  <c r="C61" i="17" s="1"/>
  <c r="B59" i="17"/>
  <c r="B58" i="17"/>
  <c r="F57" i="17"/>
  <c r="B57" i="17"/>
  <c r="F56" i="17"/>
  <c r="B56" i="17"/>
  <c r="B55" i="17"/>
  <c r="B54" i="17"/>
  <c r="B52" i="17"/>
  <c r="B51" i="17"/>
  <c r="B50" i="17"/>
  <c r="B49" i="17"/>
  <c r="B48" i="17"/>
  <c r="B46" i="17"/>
  <c r="B45" i="17"/>
  <c r="B43" i="17"/>
  <c r="F42" i="17"/>
  <c r="B42" i="17"/>
  <c r="B41" i="17"/>
  <c r="B40" i="17"/>
  <c r="B39" i="17"/>
  <c r="B37" i="17"/>
  <c r="B35" i="17"/>
  <c r="B34" i="17"/>
  <c r="F61" i="17"/>
  <c r="B32" i="17"/>
  <c r="B31" i="17"/>
  <c r="B61" i="17" s="1"/>
  <c r="G28" i="17"/>
  <c r="G63" i="17" s="1"/>
  <c r="E28" i="17"/>
  <c r="E63" i="17" s="1"/>
  <c r="D28" i="17"/>
  <c r="D63" i="17" s="1"/>
  <c r="C28" i="17"/>
  <c r="C63" i="17" s="1"/>
  <c r="B27" i="17"/>
  <c r="B26" i="17"/>
  <c r="B25" i="17"/>
  <c r="B23" i="17"/>
  <c r="B21" i="17"/>
  <c r="B20" i="17"/>
  <c r="F19" i="17"/>
  <c r="B19" i="17"/>
  <c r="B18" i="17"/>
  <c r="B16" i="17"/>
  <c r="B15" i="17"/>
  <c r="B14" i="17"/>
  <c r="F13" i="17"/>
  <c r="F28" i="17" s="1"/>
  <c r="F63" i="17" s="1"/>
  <c r="B13" i="17"/>
  <c r="B12" i="17"/>
  <c r="B11" i="17"/>
  <c r="B10" i="17"/>
  <c r="B9" i="17"/>
  <c r="B8" i="17"/>
  <c r="B7" i="17"/>
  <c r="B28" i="17" s="1"/>
  <c r="B63" i="17" s="1"/>
  <c r="B66" i="17" s="1"/>
  <c r="F60" i="16"/>
  <c r="F50" i="16"/>
  <c r="F49" i="16"/>
  <c r="F43" i="16"/>
  <c r="F42" i="16"/>
  <c r="F41" i="16"/>
  <c r="F35" i="16"/>
  <c r="F32" i="16"/>
  <c r="F26" i="16"/>
  <c r="F20" i="16"/>
  <c r="F19" i="16"/>
  <c r="F14" i="16"/>
  <c r="F13" i="16"/>
  <c r="F18" i="16"/>
  <c r="C81" i="16"/>
  <c r="B81" i="16"/>
  <c r="G79" i="16"/>
  <c r="F77" i="16"/>
  <c r="F75" i="16"/>
  <c r="G75" i="16" s="1"/>
  <c r="G81" i="16" s="1"/>
  <c r="F74" i="16"/>
  <c r="F73" i="16"/>
  <c r="F81" i="16" s="1"/>
  <c r="C65" i="16"/>
  <c r="G61" i="16"/>
  <c r="E61" i="16"/>
  <c r="D61" i="16"/>
  <c r="B60" i="16"/>
  <c r="C59" i="16"/>
  <c r="C61" i="16" s="1"/>
  <c r="B59" i="16"/>
  <c r="B58" i="16"/>
  <c r="F57" i="16"/>
  <c r="B57" i="16"/>
  <c r="F56" i="16"/>
  <c r="B56" i="16"/>
  <c r="B55" i="16"/>
  <c r="B54" i="16"/>
  <c r="B52" i="16"/>
  <c r="B51" i="16"/>
  <c r="B50" i="16"/>
  <c r="B49" i="16"/>
  <c r="B48" i="16"/>
  <c r="B46" i="16"/>
  <c r="B45" i="16"/>
  <c r="B43" i="16"/>
  <c r="B42" i="16"/>
  <c r="B41" i="16"/>
  <c r="B40" i="16"/>
  <c r="B39" i="16"/>
  <c r="B37" i="16"/>
  <c r="B35" i="16"/>
  <c r="B34" i="16"/>
  <c r="F61" i="16"/>
  <c r="B32" i="16"/>
  <c r="B31" i="16"/>
  <c r="B61" i="16" s="1"/>
  <c r="G28" i="16"/>
  <c r="G63" i="16" s="1"/>
  <c r="E28" i="16"/>
  <c r="E63" i="16" s="1"/>
  <c r="D28" i="16"/>
  <c r="D63" i="16" s="1"/>
  <c r="C28" i="16"/>
  <c r="C63" i="16" s="1"/>
  <c r="B27" i="16"/>
  <c r="B26" i="16"/>
  <c r="B25" i="16"/>
  <c r="B23" i="16"/>
  <c r="B21" i="16"/>
  <c r="B20" i="16"/>
  <c r="B19" i="16"/>
  <c r="F28" i="16"/>
  <c r="F63" i="16" s="1"/>
  <c r="B18" i="16"/>
  <c r="B16" i="16"/>
  <c r="B15" i="16"/>
  <c r="B14" i="16"/>
  <c r="B13" i="16"/>
  <c r="B12" i="16"/>
  <c r="B11" i="16"/>
  <c r="B10" i="16"/>
  <c r="B9" i="16"/>
  <c r="B8" i="16"/>
  <c r="B7" i="16"/>
  <c r="B28" i="16" s="1"/>
  <c r="B63" i="16" s="1"/>
  <c r="B66" i="16" s="1"/>
  <c r="F76" i="13"/>
  <c r="F57" i="15"/>
  <c r="F56" i="15"/>
  <c r="F49" i="15"/>
  <c r="F32" i="15"/>
  <c r="F26" i="15"/>
  <c r="F20" i="15"/>
  <c r="F19" i="15"/>
  <c r="F18" i="15"/>
  <c r="C81" i="15"/>
  <c r="B81" i="15"/>
  <c r="G79" i="15"/>
  <c r="F77" i="15"/>
  <c r="F75" i="15"/>
  <c r="G75" i="15" s="1"/>
  <c r="F74" i="15"/>
  <c r="F73" i="15"/>
  <c r="C65" i="15"/>
  <c r="G61" i="15"/>
  <c r="E61" i="15"/>
  <c r="D61" i="15"/>
  <c r="B60" i="15"/>
  <c r="C59" i="15"/>
  <c r="C61" i="15" s="1"/>
  <c r="B59" i="15"/>
  <c r="B58" i="15"/>
  <c r="B57" i="15"/>
  <c r="B56" i="15"/>
  <c r="B55" i="15"/>
  <c r="B54" i="15"/>
  <c r="B52" i="15"/>
  <c r="B51" i="15"/>
  <c r="B50" i="15"/>
  <c r="B49" i="15"/>
  <c r="B48" i="15"/>
  <c r="B46" i="15"/>
  <c r="B45" i="15"/>
  <c r="B43" i="15"/>
  <c r="B42" i="15"/>
  <c r="B41" i="15"/>
  <c r="B40" i="15"/>
  <c r="B39" i="15"/>
  <c r="B37" i="15"/>
  <c r="B35" i="15"/>
  <c r="B34" i="15"/>
  <c r="F61" i="15"/>
  <c r="B32" i="15"/>
  <c r="B31" i="15"/>
  <c r="B61" i="15" s="1"/>
  <c r="G28" i="15"/>
  <c r="G63" i="15" s="1"/>
  <c r="E28" i="15"/>
  <c r="E63" i="15" s="1"/>
  <c r="D28" i="15"/>
  <c r="D63" i="15" s="1"/>
  <c r="C28" i="15"/>
  <c r="C63" i="15" s="1"/>
  <c r="B27" i="15"/>
  <c r="B26" i="15"/>
  <c r="B25" i="15"/>
  <c r="B23" i="15"/>
  <c r="B21" i="15"/>
  <c r="B20" i="15"/>
  <c r="B19" i="15"/>
  <c r="F28" i="15"/>
  <c r="F63" i="15" s="1"/>
  <c r="B18" i="15"/>
  <c r="B16" i="15"/>
  <c r="B15" i="15"/>
  <c r="B14" i="15"/>
  <c r="B13" i="15"/>
  <c r="B12" i="15"/>
  <c r="B11" i="15"/>
  <c r="B10" i="15"/>
  <c r="B9" i="15"/>
  <c r="B8" i="15"/>
  <c r="B7" i="15"/>
  <c r="B28" i="15" s="1"/>
  <c r="B63" i="15" s="1"/>
  <c r="B66" i="15" s="1"/>
  <c r="F56" i="14"/>
  <c r="F49" i="14"/>
  <c r="F32" i="14"/>
  <c r="F26" i="14"/>
  <c r="F20" i="14"/>
  <c r="F18" i="14"/>
  <c r="D28" i="14"/>
  <c r="E28" i="14"/>
  <c r="F28" i="14"/>
  <c r="F28" i="13"/>
  <c r="E28" i="13"/>
  <c r="C81" i="14"/>
  <c r="B81" i="14"/>
  <c r="G79" i="14"/>
  <c r="F77" i="14"/>
  <c r="F76" i="14"/>
  <c r="F75" i="14"/>
  <c r="G75" i="14" s="1"/>
  <c r="F74" i="14"/>
  <c r="F73" i="14"/>
  <c r="C65" i="14"/>
  <c r="G61" i="14"/>
  <c r="F61" i="14"/>
  <c r="F63" i="14" s="1"/>
  <c r="E61" i="14"/>
  <c r="E63" i="14" s="1"/>
  <c r="D61" i="14"/>
  <c r="D63" i="14" s="1"/>
  <c r="B60" i="14"/>
  <c r="C59" i="14"/>
  <c r="C61" i="14" s="1"/>
  <c r="B59" i="14"/>
  <c r="B58" i="14"/>
  <c r="B57" i="14"/>
  <c r="B56" i="14"/>
  <c r="B55" i="14"/>
  <c r="B54" i="14"/>
  <c r="B52" i="14"/>
  <c r="B51" i="14"/>
  <c r="B50" i="14"/>
  <c r="B49" i="14"/>
  <c r="B48" i="14"/>
  <c r="B46" i="14"/>
  <c r="B45" i="14"/>
  <c r="B43" i="14"/>
  <c r="B42" i="14"/>
  <c r="B41" i="14"/>
  <c r="B40" i="14"/>
  <c r="B39" i="14"/>
  <c r="B37" i="14"/>
  <c r="B35" i="14"/>
  <c r="B34" i="14"/>
  <c r="B32" i="14"/>
  <c r="B31" i="14"/>
  <c r="B61" i="14" s="1"/>
  <c r="G28" i="14"/>
  <c r="G63" i="14" s="1"/>
  <c r="C28" i="14"/>
  <c r="C63" i="14" s="1"/>
  <c r="B27" i="14"/>
  <c r="B26" i="14"/>
  <c r="B25" i="14"/>
  <c r="B23" i="14"/>
  <c r="B21" i="14"/>
  <c r="B20" i="14"/>
  <c r="B19" i="14"/>
  <c r="B18" i="14"/>
  <c r="B16" i="14"/>
  <c r="B15" i="14"/>
  <c r="B14" i="14"/>
  <c r="B13" i="14"/>
  <c r="B12" i="14"/>
  <c r="B11" i="14"/>
  <c r="B10" i="14"/>
  <c r="B9" i="14"/>
  <c r="B8" i="14"/>
  <c r="B7" i="14"/>
  <c r="B28" i="14" s="1"/>
  <c r="B63" i="14" s="1"/>
  <c r="B66" i="14" s="1"/>
  <c r="C59" i="13"/>
  <c r="C61" i="13" s="1"/>
  <c r="C28" i="13"/>
  <c r="C63" i="13" s="1"/>
  <c r="B60" i="13"/>
  <c r="B59" i="13"/>
  <c r="B58" i="13"/>
  <c r="B57" i="13"/>
  <c r="B56" i="13"/>
  <c r="B55" i="13"/>
  <c r="B54" i="13"/>
  <c r="B52" i="13"/>
  <c r="B51" i="13"/>
  <c r="B50" i="13"/>
  <c r="B49" i="13"/>
  <c r="B48" i="13"/>
  <c r="B46" i="13"/>
  <c r="B45" i="13"/>
  <c r="B43" i="13"/>
  <c r="B42" i="13"/>
  <c r="B41" i="13"/>
  <c r="B40" i="13"/>
  <c r="B39" i="13"/>
  <c r="B37" i="13"/>
  <c r="B35" i="13"/>
  <c r="B34" i="13"/>
  <c r="B32" i="13"/>
  <c r="B31" i="13"/>
  <c r="B61" i="13" s="1"/>
  <c r="B27" i="13"/>
  <c r="B26" i="13"/>
  <c r="B25" i="13"/>
  <c r="B23" i="13"/>
  <c r="B21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28" i="13" s="1"/>
  <c r="B63" i="13" s="1"/>
  <c r="B66" i="13"/>
  <c r="F71" i="13"/>
  <c r="C80" i="13"/>
  <c r="B80" i="13"/>
  <c r="G79" i="13"/>
  <c r="F77" i="13"/>
  <c r="F75" i="13"/>
  <c r="G75" i="13" s="1"/>
  <c r="F74" i="13"/>
  <c r="F73" i="13"/>
  <c r="C65" i="13"/>
  <c r="E61" i="13"/>
  <c r="D61" i="13"/>
  <c r="G61" i="13"/>
  <c r="F61" i="13"/>
  <c r="G28" i="13"/>
  <c r="G63" i="13" s="1"/>
  <c r="E63" i="13"/>
  <c r="D63" i="13"/>
  <c r="F63" i="13"/>
  <c r="C82" i="20" l="1"/>
  <c r="F65" i="20"/>
  <c r="C66" i="20"/>
  <c r="B82" i="20"/>
  <c r="B83" i="20" s="1"/>
  <c r="C83" i="20"/>
  <c r="C82" i="19"/>
  <c r="F65" i="19"/>
  <c r="C66" i="19"/>
  <c r="B82" i="19"/>
  <c r="B83" i="19" s="1"/>
  <c r="C83" i="19"/>
  <c r="C82" i="18"/>
  <c r="F65" i="18"/>
  <c r="C66" i="18"/>
  <c r="B82" i="18"/>
  <c r="B83" i="18" s="1"/>
  <c r="C83" i="18"/>
  <c r="C82" i="17"/>
  <c r="F65" i="17"/>
  <c r="C66" i="17"/>
  <c r="B82" i="17"/>
  <c r="B83" i="17" s="1"/>
  <c r="C83" i="17"/>
  <c r="C82" i="16"/>
  <c r="F65" i="16"/>
  <c r="C66" i="16"/>
  <c r="B82" i="16"/>
  <c r="B83" i="16" s="1"/>
  <c r="C83" i="16"/>
  <c r="C82" i="15"/>
  <c r="F65" i="15"/>
  <c r="C66" i="15"/>
  <c r="F81" i="15"/>
  <c r="G81" i="15"/>
  <c r="B82" i="15"/>
  <c r="B83" i="15" s="1"/>
  <c r="C83" i="15"/>
  <c r="C82" i="14"/>
  <c r="F65" i="14"/>
  <c r="C66" i="14"/>
  <c r="F81" i="14"/>
  <c r="G81" i="14"/>
  <c r="B82" i="14"/>
  <c r="B83" i="14" s="1"/>
  <c r="C83" i="14"/>
  <c r="C81" i="13"/>
  <c r="F65" i="13"/>
  <c r="C66" i="13"/>
  <c r="F80" i="13"/>
  <c r="G80" i="13"/>
  <c r="B81" i="13"/>
  <c r="B82" i="13" s="1"/>
  <c r="C82" i="13"/>
  <c r="F82" i="20" l="1"/>
  <c r="F83" i="20" s="1"/>
  <c r="F66" i="20"/>
  <c r="G65" i="20"/>
  <c r="G66" i="20" s="1"/>
  <c r="G82" i="20" s="1"/>
  <c r="G83" i="20" s="1"/>
  <c r="F82" i="19"/>
  <c r="F83" i="19" s="1"/>
  <c r="F66" i="19"/>
  <c r="G65" i="19"/>
  <c r="G66" i="19" s="1"/>
  <c r="G82" i="19" s="1"/>
  <c r="G83" i="19" s="1"/>
  <c r="F82" i="18"/>
  <c r="F83" i="18" s="1"/>
  <c r="F66" i="18"/>
  <c r="G65" i="18"/>
  <c r="G66" i="18" s="1"/>
  <c r="G82" i="18" s="1"/>
  <c r="G83" i="18" s="1"/>
  <c r="F82" i="17"/>
  <c r="F83" i="17" s="1"/>
  <c r="F66" i="17"/>
  <c r="G65" i="17"/>
  <c r="G66" i="17" s="1"/>
  <c r="G82" i="17" s="1"/>
  <c r="G83" i="17" s="1"/>
  <c r="F82" i="16"/>
  <c r="F83" i="16" s="1"/>
  <c r="F66" i="16"/>
  <c r="G65" i="16"/>
  <c r="G66" i="16" s="1"/>
  <c r="G82" i="16" s="1"/>
  <c r="G83" i="16" s="1"/>
  <c r="F82" i="15"/>
  <c r="F83" i="15" s="1"/>
  <c r="F66" i="15"/>
  <c r="G65" i="15"/>
  <c r="G66" i="15" s="1"/>
  <c r="G82" i="15" s="1"/>
  <c r="G83" i="15" s="1"/>
  <c r="F82" i="14"/>
  <c r="F83" i="14" s="1"/>
  <c r="F66" i="14"/>
  <c r="G65" i="14"/>
  <c r="G66" i="14" s="1"/>
  <c r="G82" i="14" s="1"/>
  <c r="G83" i="14" s="1"/>
  <c r="F81" i="13"/>
  <c r="F82" i="13" s="1"/>
  <c r="F66" i="13"/>
  <c r="G65" i="13"/>
  <c r="G66" i="13" s="1"/>
  <c r="G81" i="13" s="1"/>
  <c r="G82" i="13" s="1"/>
</calcChain>
</file>

<file path=xl/sharedStrings.xml><?xml version="1.0" encoding="utf-8"?>
<sst xmlns="http://schemas.openxmlformats.org/spreadsheetml/2006/main" count="744" uniqueCount="95">
  <si>
    <t>Valle Verde Elementary School PTA 2023/2024 Budget &amp; YTD Results</t>
  </si>
  <si>
    <t>2022/2023</t>
  </si>
  <si>
    <t>2023/2024</t>
  </si>
  <si>
    <t>YTD Actual</t>
  </si>
  <si>
    <t>Budget</t>
  </si>
  <si>
    <t>Previous</t>
  </si>
  <si>
    <t>Current</t>
  </si>
  <si>
    <t>As of 6/30/23</t>
  </si>
  <si>
    <t>July</t>
  </si>
  <si>
    <t>As of 6/30/24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</si>
  <si>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</si>
  <si>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</si>
  <si>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</si>
  <si>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</si>
  <si>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</si>
  <si>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</si>
  <si>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</si>
  <si>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</si>
  <si>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 Run</t>
  </si>
  <si>
    <t>Shop &amp; Give</t>
  </si>
  <si>
    <t>Sponsorship</t>
  </si>
  <si>
    <t>Fund-A-Need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</si>
  <si>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</si>
  <si>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</si>
  <si>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</si>
  <si>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</si>
  <si>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</si>
  <si>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</si>
  <si>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</si>
  <si>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</si>
  <si>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</si>
  <si>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</si>
  <si>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</si>
  <si>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</si>
  <si>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</si>
  <si>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</si>
  <si>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</si>
  <si>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</si>
  <si>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</si>
  <si>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Emergency Backpacks</t>
  </si>
  <si>
    <t>Family Events/STEAM</t>
  </si>
  <si>
    <t>Hospitality</t>
  </si>
  <si>
    <t>Instructional Assistant</t>
  </si>
  <si>
    <t>Insurance</t>
  </si>
  <si>
    <t>Campus Beautificaton/Landscaping</t>
  </si>
  <si>
    <t>Life Lab</t>
  </si>
  <si>
    <t>Misc. Expense</t>
  </si>
  <si>
    <t>Principal's Fund</t>
  </si>
  <si>
    <t>PTA Functional</t>
  </si>
  <si>
    <t>Reading Specialist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</si>
  <si>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</si>
  <si>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</si>
  <si>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</si>
  <si>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</si>
  <si>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</si>
  <si>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</si>
  <si>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Graduating Class</t>
  </si>
  <si>
    <t>Fund a Need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</si>
  <si>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</si>
  <si>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</si>
  <si>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</si>
  <si>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</si>
  <si>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</si>
  <si>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</si>
  <si>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</si>
  <si>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2022</t>
  </si>
  <si>
    <t>Graduating Class 2023</t>
  </si>
  <si>
    <t>Graduating Class 2024</t>
  </si>
  <si>
    <t>Graduating Class 2025</t>
  </si>
  <si>
    <t>Art Docent Program</t>
  </si>
  <si>
    <t>Sandy Himel Grant</t>
  </si>
  <si>
    <t>School Play Reserve</t>
  </si>
  <si>
    <t>Fund-A-Need: STEAM</t>
  </si>
  <si>
    <t>Fund-A-Need: Most Wanted</t>
  </si>
  <si>
    <t>Fund-A-Need: 2023</t>
  </si>
  <si>
    <t>Education Fund</t>
  </si>
  <si>
    <t>Check</t>
  </si>
  <si>
    <t>Restricted Cash</t>
  </si>
  <si>
    <t>Unrestricted Cash</t>
  </si>
  <si>
    <t>Total Cash</t>
  </si>
  <si>
    <t>As of 7/31/23</t>
  </si>
  <si>
    <t>August</t>
  </si>
  <si>
    <t>As of 8/31/23</t>
  </si>
  <si>
    <t>September</t>
  </si>
  <si>
    <t>As of 9/30/23</t>
  </si>
  <si>
    <t>Fund a Need - 2023</t>
  </si>
  <si>
    <t>October</t>
  </si>
  <si>
    <t>As of 10/31/23</t>
  </si>
  <si>
    <t>November</t>
  </si>
  <si>
    <t>As of 11/30/23</t>
  </si>
  <si>
    <t>Campus Beautification/Landscaping</t>
  </si>
  <si>
    <t>December</t>
  </si>
  <si>
    <t>As of 12/31/2023</t>
  </si>
  <si>
    <t>January</t>
  </si>
  <si>
    <t>As of 01/31/24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</si>
</sst>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0" fillId="0" borderId="0" xfId="0" applyNumberFormat="1"/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2" fillId="0" borderId="17" xfId="0" applyNumberFormat="1" applyFont="1" applyBorder="1"/>
    <xf numFmtId="38" fontId="9" fillId="0" borderId="16" xfId="0" applyNumberFormat="1" applyFont="1" applyBorder="1"/>
    <xf numFmtId="0" fontId="2" fillId="0" borderId="0" xfId="0" applyFont="1" applyAlignment="1">
      <alignment horizontal="left"/>
    </xf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3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15" xfId="0" applyNumberFormat="1" applyFill="1" applyBorder="1"/>
    <xf numFmtId="38" fontId="6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4" xfId="0" applyNumberFormat="1" applyBorder="1"/>
    <xf numFmtId="0" fontId="0" fillId="0" borderId="24" xfId="0" applyBorder="1"/>
    <xf numFmtId="38" fontId="0" fillId="0" borderId="25" xfId="0" applyNumberFormat="1" applyFill="1" applyBorder="1"/>
    <xf numFmtId="38" fontId="0" fillId="0" borderId="25" xfId="0" applyNumberFormat="1" applyBorder="1"/>
    <xf numFmtId="38" fontId="2" fillId="0" borderId="26" xfId="0" applyNumberFormat="1" applyFont="1" applyBorder="1"/>
    <xf numFmtId="38" fontId="0" fillId="0" borderId="27" xfId="0" applyNumberFormat="1" applyFill="1" applyBorder="1"/>
    <xf numFmtId="38" fontId="2" fillId="0" borderId="28" xfId="0" applyNumberFormat="1" applyFont="1" applyBorder="1"/>
    <xf numFmtId="5" fontId="0" fillId="0" borderId="29" xfId="0" applyNumberFormat="1" applyBorder="1"/>
    <xf numFmtId="5" fontId="0" fillId="0" borderId="30" xfId="0" applyNumberFormat="1" applyBorder="1"/>
    <xf numFmtId="38" fontId="9" fillId="0" borderId="17" xfId="0" applyNumberFormat="1" applyFont="1" applyBorder="1"/>
    <xf numFmtId="38" fontId="2" fillId="0" borderId="32" xfId="0" applyNumberFormat="1" applyFont="1" applyBorder="1"/>
    <xf numFmtId="0" fontId="0" fillId="0" borderId="31" xfId="0" applyBorder="1"/>
    <xf numFmtId="38" fontId="0" fillId="0" borderId="33" xfId="0" applyNumberFormat="1" applyFont="1" applyBorder="1"/>
    <xf numFmtId="38" fontId="0" fillId="2" borderId="25" xfId="0" applyNumberFormat="1" applyFill="1" applyBorder="1"/>
    <xf numFmtId="38" fontId="6" fillId="2" borderId="11" xfId="0" applyNumberFormat="1" applyFont="1" applyFill="1" applyBorder="1" applyAlignment="1">
      <alignment horizontal="right"/>
    </xf>
    <xf numFmtId="38" fontId="6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>
      <selection activeCell="W18" sqref="W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15D2-6D99-4F4F-AE5B-C2DF173B2A7C}">
  <dimension ref="A1:H82"/>
  <sheetViews>
    <sheetView topLeftCell="A57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9</v>
      </c>
      <c r="G5" s="10" t="s">
        <v>2</v>
      </c>
    </row>
    <row r="6" spans="1:7">
      <c r="A6" s="11" t="s">
        <v>10</v>
      </c>
      <c r="B6" s="58"/>
      <c r="C6" s="59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/>
      <c r="F18" s="19"/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/>
      <c r="F20" s="46"/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/>
      <c r="F26" s="19"/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/>
      <c r="E28" s="23">
        <f>SUM(E6:E27)</f>
        <v>0</v>
      </c>
      <c r="F28" s="23">
        <f>SUM(F6:F27)</f>
        <v>0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50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F32" s="19"/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50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50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50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50"/>
      <c r="F49" s="19"/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F56" s="19"/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50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50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52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0</v>
      </c>
      <c r="F61" s="27">
        <f>SUM(F29:F60)</f>
        <v>0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0</v>
      </c>
      <c r="F63" s="23">
        <f>F28+F61</f>
        <v>0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374142.16999999993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f>C71</f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A80" s="43" t="s">
        <v>77</v>
      </c>
      <c r="B80" s="44">
        <f>SUM(B69:B79)</f>
        <v>130624.56</v>
      </c>
      <c r="C80" s="44">
        <f>SUM(C69:C79)</f>
        <v>188638.12</v>
      </c>
      <c r="D80" s="44"/>
      <c r="E80" s="44"/>
      <c r="F80" s="44">
        <f>SUM(F69:F79)</f>
        <v>171498.28</v>
      </c>
      <c r="G80" s="44">
        <f>SUM(G69:G79)</f>
        <v>153324.35999999999</v>
      </c>
      <c r="H80" s="45"/>
    </row>
    <row r="81" spans="1:8">
      <c r="A81" s="43" t="s">
        <v>78</v>
      </c>
      <c r="B81" s="44">
        <f>B65-B80</f>
        <v>182190.44</v>
      </c>
      <c r="C81" s="44">
        <f>B66-C80</f>
        <v>185504.04999999993</v>
      </c>
      <c r="D81" s="44"/>
      <c r="E81" s="44"/>
      <c r="F81" s="44">
        <f>F65-F80</f>
        <v>202643.88999999993</v>
      </c>
      <c r="G81" s="44">
        <f>G66-G80</f>
        <v>179397.80999999994</v>
      </c>
      <c r="H81" s="45"/>
    </row>
    <row r="82" spans="1:8">
      <c r="A82" s="43" t="s">
        <v>79</v>
      </c>
      <c r="B82" s="44">
        <f>SUM(B80:B81)</f>
        <v>312815</v>
      </c>
      <c r="C82" s="44">
        <f t="shared" ref="C82:G82" si="1">SUM(C80:C81)</f>
        <v>374142.16999999993</v>
      </c>
      <c r="D82" s="44"/>
      <c r="E82" s="44"/>
      <c r="F82" s="44">
        <f t="shared" si="1"/>
        <v>374142.16999999993</v>
      </c>
      <c r="G82" s="44">
        <f t="shared" si="1"/>
        <v>332722.16999999993</v>
      </c>
      <c r="H82" s="45"/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78F2-2A0F-4FFF-8600-536F66416D36}">
  <dimension ref="A1:H83"/>
  <sheetViews>
    <sheetView topLeftCell="A59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80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>
        <v>3.74</v>
      </c>
      <c r="F18" s="19">
        <f>4</f>
        <v>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>
        <v>102</v>
      </c>
      <c r="F20" s="46">
        <f>102</f>
        <v>102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>
        <v>465</v>
      </c>
      <c r="F26" s="19">
        <f>465</f>
        <v>465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0</v>
      </c>
      <c r="E28" s="23">
        <f>SUM(E6:E27)</f>
        <v>570.74</v>
      </c>
      <c r="F28" s="23">
        <f>SUM(F6:F27)</f>
        <v>571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E32" s="19">
        <v>-15.35</v>
      </c>
      <c r="F32" s="19">
        <f>-15</f>
        <v>-15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E42" s="19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E48" s="19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19">
        <v>-15.99</v>
      </c>
      <c r="F49" s="19">
        <f>-16</f>
        <v>-16</v>
      </c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E50" s="19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E51" s="19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E52" s="19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E53" s="19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E54" s="19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E55" s="19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E56" s="19">
        <v>-144</v>
      </c>
      <c r="F56" s="19">
        <f>-144</f>
        <v>-144</v>
      </c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E57" s="19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19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19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19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-175.34</v>
      </c>
      <c r="F61" s="27">
        <f>SUM(F29:F60)</f>
        <v>-175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395.4</v>
      </c>
      <c r="F63" s="23">
        <f>F28+F61</f>
        <v>396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374538.16999999993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171498.28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202643.88999999993</v>
      </c>
      <c r="G82" s="44">
        <f>G66-G81</f>
        <v>179397.80999999994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332722.16999999993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2EC5-5F9B-48E8-BD63-024AEA36D8D2}">
  <dimension ref="A1:I83"/>
  <sheetViews>
    <sheetView workbookViewId="0">
      <selection activeCell="F26" sqref="F26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</v>
      </c>
      <c r="E5" s="9" t="s">
        <v>81</v>
      </c>
      <c r="F5" s="9" t="s">
        <v>82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3.74</v>
      </c>
      <c r="F18" s="19">
        <f>4+4</f>
        <v>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>
        <v>40</v>
      </c>
      <c r="F19" s="46">
        <f>40</f>
        <v>40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102</v>
      </c>
      <c r="E20" s="19">
        <v>535.5</v>
      </c>
      <c r="F20" s="46">
        <f>102+536</f>
        <v>638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465</v>
      </c>
      <c r="E26" s="19">
        <v>10765</v>
      </c>
      <c r="F26" s="19">
        <f>465+10765</f>
        <v>11230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570.74</v>
      </c>
      <c r="E28" s="23">
        <f>SUM(E6:E27)</f>
        <v>11344.24</v>
      </c>
      <c r="F28" s="23">
        <f>SUM(F6:F27)</f>
        <v>11916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-15.35</v>
      </c>
      <c r="E32" s="19">
        <v>-343.12</v>
      </c>
      <c r="F32" s="19">
        <f>-15-343</f>
        <v>-358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/>
      <c r="G42" s="65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</f>
        <v>-32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/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-144</v>
      </c>
      <c r="E56" s="19">
        <v>-312</v>
      </c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>
        <v>-2261</v>
      </c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57</v>
      </c>
      <c r="B60" s="56">
        <f>-8627.84-1150</f>
        <v>-9777.84</v>
      </c>
      <c r="C60" s="49">
        <v>-14253</v>
      </c>
      <c r="D60" s="19"/>
      <c r="E60" s="19"/>
      <c r="F60" s="48"/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-175.34</v>
      </c>
      <c r="E61" s="61">
        <f>SUM(E29:E60)</f>
        <v>-2932.11</v>
      </c>
      <c r="F61" s="27">
        <f>SUM(F29:F60)</f>
        <v>-3107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395.4</v>
      </c>
      <c r="E63" s="23">
        <f>E28+E61</f>
        <v>8412.1299999999992</v>
      </c>
      <c r="F63" s="23">
        <f>F28+F61</f>
        <v>8809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382951.16999999993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06CE-5EA7-480A-AA3E-1174B1D7658B}">
  <dimension ref="A1:I83"/>
  <sheetViews>
    <sheetView workbookViewId="0">
      <selection activeCell="F14" sqref="F1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81</v>
      </c>
      <c r="E5" s="9" t="s">
        <v>83</v>
      </c>
      <c r="F5" s="9" t="s">
        <v>84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1780</v>
      </c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>
        <v>100</v>
      </c>
      <c r="F14" s="46">
        <f>100</f>
        <v>100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</f>
        <v>12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>
        <v>40</v>
      </c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535.5</v>
      </c>
      <c r="E20" s="19">
        <v>306</v>
      </c>
      <c r="F20" s="46">
        <f>102+536+306</f>
        <v>944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10765</v>
      </c>
      <c r="E26" s="19">
        <v>4810</v>
      </c>
      <c r="F26" s="19">
        <f>465+10765+4810</f>
        <v>16040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11344.24</v>
      </c>
      <c r="E28" s="23">
        <f>SUM(E6:E27)</f>
        <v>7039.62</v>
      </c>
      <c r="F28" s="23">
        <f>SUM(F6:F27)</f>
        <v>18956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-956</v>
      </c>
      <c r="F31" s="19">
        <v>-956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-343.12</v>
      </c>
      <c r="E32" s="19">
        <v>-212.93</v>
      </c>
      <c r="F32" s="19">
        <f>-15-343-213</f>
        <v>-571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>
        <v>-350</v>
      </c>
      <c r="F35" s="46">
        <f>-350</f>
        <v>-350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-1226.98</v>
      </c>
      <c r="F41" s="19">
        <f>-1227</f>
        <v>-1227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>
        <v>-1111.5</v>
      </c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>
        <v>-17634.18</v>
      </c>
      <c r="F43" s="19">
        <f>-17634</f>
        <v>-17634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-16-16-16</f>
        <v>-48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>
        <v>-14684.07</v>
      </c>
      <c r="F50" s="19">
        <f>-14684</f>
        <v>-14684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-312</v>
      </c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>
        <v>-2261</v>
      </c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>
        <v>-5325.46</v>
      </c>
      <c r="F60" s="48">
        <f>-5325</f>
        <v>-5325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-2932.11</v>
      </c>
      <c r="E61" s="61">
        <f>SUM(E29:E60)</f>
        <v>-41517.11</v>
      </c>
      <c r="F61" s="27">
        <f>SUM(F29:F60)</f>
        <v>-44624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8412.1299999999992</v>
      </c>
      <c r="E63" s="23">
        <f>E28+E61</f>
        <v>-34477.49</v>
      </c>
      <c r="F63" s="23">
        <f>F28+F61</f>
        <v>-25668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348474.16999999993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4FA7-105D-426C-A531-28C3D5AC5FC7}">
  <sheetPr>
    <pageSetUpPr fitToPage="1"/>
  </sheetPr>
  <dimension ref="A1:I83"/>
  <sheetViews>
    <sheetView workbookViewId="0">
      <selection activeCell="E7" sqref="E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83</v>
      </c>
      <c r="E5" s="9" t="s">
        <v>86</v>
      </c>
      <c r="F5" s="9" t="s">
        <v>87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>
        <v>7475</v>
      </c>
      <c r="F10" s="19">
        <f>7475</f>
        <v>7475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>
        <v>322.01</v>
      </c>
      <c r="F12" s="19">
        <f>322</f>
        <v>322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1780</v>
      </c>
      <c r="E13" s="19"/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>
        <v>200</v>
      </c>
      <c r="F14" s="46">
        <f>100+200</f>
        <v>300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</f>
        <v>16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306</v>
      </c>
      <c r="E20" s="19">
        <v>12.75</v>
      </c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4810</v>
      </c>
      <c r="E26" s="19">
        <v>2313.04</v>
      </c>
      <c r="F26" s="19">
        <f>465+10765+4810+2313</f>
        <v>18353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7039.62</v>
      </c>
      <c r="E28" s="23">
        <f>SUM(E6:E27)</f>
        <v>10326.540000000001</v>
      </c>
      <c r="F28" s="23">
        <f>SUM(F6:F27)</f>
        <v>29283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-956</v>
      </c>
      <c r="E31" s="19">
        <v>-413.74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-212.93</v>
      </c>
      <c r="E32" s="19">
        <v>-288.83999999999997</v>
      </c>
      <c r="F32" s="19">
        <f>-15-343-213-289</f>
        <v>-860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-350</v>
      </c>
      <c r="E35" s="19">
        <v>-266.37</v>
      </c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-8827.75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>
        <v>-349.28</v>
      </c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-1226.98</v>
      </c>
      <c r="E41" s="19">
        <v>-3000</v>
      </c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>
        <v>-1111.5</v>
      </c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-17634.18</v>
      </c>
      <c r="E43" s="19">
        <v>-10902.63</v>
      </c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-282</v>
      </c>
      <c r="F44" s="19">
        <f>-282</f>
        <v>-282</v>
      </c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>
        <v>-197.05</v>
      </c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-435.99</v>
      </c>
      <c r="F49" s="19">
        <f>-16-16-16-436</f>
        <v>-484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-14684.07</v>
      </c>
      <c r="E50" s="19">
        <v>-8859.5499999999993</v>
      </c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>
        <v>-660</v>
      </c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>
        <v>-2700</v>
      </c>
      <c r="F54" s="46">
        <f>-2700</f>
        <v>-2700</v>
      </c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-1141.18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-5325.46</v>
      </c>
      <c r="E60" s="19">
        <v>-1520</v>
      </c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-41517.11</v>
      </c>
      <c r="E61" s="61">
        <f>SUM(E29:E60)</f>
        <v>-39844.379999999997</v>
      </c>
      <c r="F61" s="27">
        <f>SUM(F29:F60)</f>
        <v>-84469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-34477.49</v>
      </c>
      <c r="E63" s="23">
        <f>E28+E61</f>
        <v>-29517.839999999997</v>
      </c>
      <c r="F63" s="23">
        <f>F28+F61</f>
        <v>-55186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318956.16999999993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86331-861A-4ED0-B147-BE4E99BE23D8}">
  <sheetPr>
    <pageSetUpPr fitToPage="1"/>
  </sheetPr>
  <dimension ref="A1:I83"/>
  <sheetViews>
    <sheetView topLeftCell="R10" workbookViewId="0">
      <selection activeCell="J25" sqref="J25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86</v>
      </c>
      <c r="E5" s="9" t="s">
        <v>88</v>
      </c>
      <c r="F5" s="9" t="s">
        <v>89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>
        <v>7475</v>
      </c>
      <c r="E10" s="19">
        <v>7819</v>
      </c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322.01</v>
      </c>
      <c r="E12" s="19">
        <v>349.38</v>
      </c>
      <c r="F12" s="19">
        <f>322+349</f>
        <v>671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85</v>
      </c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200</v>
      </c>
      <c r="E14" s="19">
        <v>57619.41</v>
      </c>
      <c r="F14" s="46">
        <f>100+200+57619</f>
        <v>57919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4+4+4+4+4</f>
        <v>20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12.75</v>
      </c>
      <c r="E20" s="19"/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>
        <v>4270</v>
      </c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2313.04</v>
      </c>
      <c r="E26" s="19">
        <v>422</v>
      </c>
      <c r="F26" s="19">
        <f>465+10765+4810+2313+422</f>
        <v>18775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10326.540000000001</v>
      </c>
      <c r="E28" s="23">
        <f>SUM(E6:E27)</f>
        <v>70568.41</v>
      </c>
      <c r="F28" s="23">
        <f>SUM(F6:F27)</f>
        <v>99851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-413.74</v>
      </c>
      <c r="E31" s="19"/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-288.83999999999997</v>
      </c>
      <c r="E32" s="19">
        <v>-4.66</v>
      </c>
      <c r="F32" s="19">
        <f>-15-343-213-289-5</f>
        <v>-865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-266.37</v>
      </c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>
        <v>-8827.75</v>
      </c>
      <c r="E39" s="19"/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>
        <v>-349.28</v>
      </c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-3000</v>
      </c>
      <c r="E41" s="19"/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-10902.63</v>
      </c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>
        <v>-282</v>
      </c>
      <c r="E44" s="19"/>
      <c r="F44" s="19">
        <f>-282</f>
        <v>-282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>
        <v>-197.05</v>
      </c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-435.99</v>
      </c>
      <c r="E49" s="19">
        <v>-15.99</v>
      </c>
      <c r="F49" s="19">
        <f>-16-16-16-436-16</f>
        <v>-500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-8859.5499999999993</v>
      </c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>
        <v>-660</v>
      </c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>
        <v>-2700</v>
      </c>
      <c r="E55" s="19"/>
      <c r="F55" s="46">
        <f>-2700</f>
        <v>-2700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>
        <v>-1141.18</v>
      </c>
      <c r="E59" s="19"/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-1520</v>
      </c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-39844.379999999997</v>
      </c>
      <c r="E61" s="61">
        <f>SUM(E29:E60)</f>
        <v>-20.65</v>
      </c>
      <c r="F61" s="27">
        <f>SUM(F29:F60)</f>
        <v>-84490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-29517.839999999997</v>
      </c>
      <c r="E63" s="23">
        <f>E28+E61</f>
        <v>70547.760000000009</v>
      </c>
      <c r="F63" s="23">
        <f>F28+F61</f>
        <v>15361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389503.16999999993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8F2B-A125-4057-A2B8-5FC44425DCAE}">
  <sheetPr>
    <pageSetUpPr fitToPage="1"/>
  </sheetPr>
  <dimension ref="A1:I83"/>
  <sheetViews>
    <sheetView workbookViewId="0">
      <selection activeCell="F5" sqref="F5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88</v>
      </c>
      <c r="E5" s="9" t="s">
        <v>91</v>
      </c>
      <c r="F5" s="9" t="s">
        <v>92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>
        <v>7819</v>
      </c>
      <c r="E10" s="19"/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349.38</v>
      </c>
      <c r="E12" s="19">
        <v>490.71</v>
      </c>
      <c r="F12" s="19">
        <f>322+349+491</f>
        <v>1162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85</v>
      </c>
      <c r="E13" s="19"/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57619.41</v>
      </c>
      <c r="E14" s="19">
        <v>100</v>
      </c>
      <c r="F14" s="46">
        <f>100+200+57619+100</f>
        <v>58019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>
        <v>943</v>
      </c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4+4+4+4+4+4</f>
        <v>24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/>
      <c r="E20" s="19"/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>
        <f>240</f>
        <v>240</v>
      </c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>
        <v>1471.6</v>
      </c>
      <c r="F23" s="46">
        <f>1472</f>
        <v>1472</v>
      </c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>
        <v>4270</v>
      </c>
      <c r="E25" s="19"/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422</v>
      </c>
      <c r="E26" s="19">
        <v>10975</v>
      </c>
      <c r="F26" s="19">
        <f>465+10765+4810+2313+422+10975</f>
        <v>29750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70568.41</v>
      </c>
      <c r="E28" s="23">
        <f>SUM(E6:E27)</f>
        <v>13984.05</v>
      </c>
      <c r="F28" s="23">
        <f>SUM(F6:F27)</f>
        <v>113133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-480.63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-4.66</v>
      </c>
      <c r="E32" s="19">
        <v>-119.83</v>
      </c>
      <c r="F32" s="19">
        <f>-15-343-213-289-5</f>
        <v>-865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-497.13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>
        <f>-282</f>
        <v>-282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/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>
        <v>-8279.5</v>
      </c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-55.59</v>
      </c>
      <c r="F49" s="19">
        <f>-16-16-16-436-16</f>
        <v>-500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>
        <v>-101.3</v>
      </c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46">
        <f>-2700</f>
        <v>-2700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>
        <v>-564.21</v>
      </c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-450.01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-20.65</v>
      </c>
      <c r="E61" s="61">
        <f>SUM(E29:E60)</f>
        <v>-10548.199999999999</v>
      </c>
      <c r="F61" s="27">
        <f>SUM(F29:F60)</f>
        <v>-84490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70547.760000000009</v>
      </c>
      <c r="E63" s="23">
        <f>E28+E61</f>
        <v>3435.8500000000004</v>
      </c>
      <c r="F63" s="23">
        <f>F28+F61</f>
        <v>28643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402785.16999999993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2DF0-9BE3-44CD-81C8-F0DBC1B0BE57}">
  <sheetPr>
    <pageSetUpPr fitToPage="1"/>
  </sheetPr>
  <dimension ref="A1:I83"/>
  <sheetViews>
    <sheetView tabSelected="1" workbookViewId="0"/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91</v>
      </c>
      <c r="E5" s="9" t="s">
        <v>93</v>
      </c>
      <c r="F5" s="9" t="s">
        <v>94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>
        <v>1973.94</v>
      </c>
      <c r="F8" s="19">
        <f>1974</f>
        <v>1974</v>
      </c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>
        <v>48.2</v>
      </c>
      <c r="F9" s="19">
        <f>48</f>
        <v>48</v>
      </c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490.71</v>
      </c>
      <c r="E12" s="19">
        <v>118.5</v>
      </c>
      <c r="F12" s="19">
        <f>322+349+491+119</f>
        <v>1281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/>
      <c r="F14" s="46">
        <f>100+200+57619+100</f>
        <v>58019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>
        <v>943</v>
      </c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3.73</v>
      </c>
      <c r="F18" s="19">
        <f>4+4+4+4+4+4+4</f>
        <v>28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/>
      <c r="E20" s="19">
        <v>25.5</v>
      </c>
      <c r="F20" s="46">
        <f>102+536+306+13+26</f>
        <v>983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>
        <v>240</v>
      </c>
      <c r="F21" s="46">
        <f>240</f>
        <v>240</v>
      </c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>
        <v>1471.6</v>
      </c>
      <c r="E23" s="19">
        <v>327.2</v>
      </c>
      <c r="F23" s="46">
        <f>1472+327</f>
        <v>1799</v>
      </c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10975</v>
      </c>
      <c r="E26" s="19">
        <v>6271.64</v>
      </c>
      <c r="F26" s="19">
        <f>465+10765+4810+2313+422+10975+6272</f>
        <v>36022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13984.05</v>
      </c>
      <c r="E28" s="23">
        <f>SUM(E6:E27)</f>
        <v>9008.7100000000009</v>
      </c>
      <c r="F28" s="23">
        <f>SUM(F6:F27)</f>
        <v>121903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-480.63</v>
      </c>
      <c r="E31" s="19"/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-119.83</v>
      </c>
      <c r="E32" s="19">
        <v>-48.9</v>
      </c>
      <c r="F32" s="19">
        <f>-15-343-213-289-5-49</f>
        <v>-914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>
        <v>-497.13</v>
      </c>
      <c r="E39" s="19"/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-1790</v>
      </c>
      <c r="F41" s="19">
        <f>-1227-3000-1790</f>
        <v>-6017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-150</v>
      </c>
      <c r="F44" s="19">
        <f>-282-150</f>
        <v>-432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/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>
        <v>-8279.5</v>
      </c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>
        <v>-528.73</v>
      </c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-55.59</v>
      </c>
      <c r="E49" s="19">
        <v>-135.87</v>
      </c>
      <c r="F49" s="19">
        <f>-16-16-16-436-16-136</f>
        <v>-636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>
        <v>-101.3</v>
      </c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>
        <v>-2700</v>
      </c>
      <c r="F55" s="46">
        <f>-2700-2700</f>
        <v>-5400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>
        <v>-564.21</v>
      </c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>
        <v>-450.01</v>
      </c>
      <c r="E59" s="19">
        <v>-87.13</v>
      </c>
      <c r="F59" s="19">
        <f>-1141-87</f>
        <v>-1228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-10548.199999999999</v>
      </c>
      <c r="E61" s="61">
        <f>SUM(E29:E60)</f>
        <v>-5440.63</v>
      </c>
      <c r="F61" s="27">
        <f>SUM(F29:F60)</f>
        <v>-89402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3435.8500000000004</v>
      </c>
      <c r="E63" s="23">
        <f>E28+E61</f>
        <v>3568.0800000000008</v>
      </c>
      <c r="F63" s="23">
        <f>F28+F61</f>
        <v>32501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406643.16999999993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Valle Verde</cp:lastModifiedBy>
  <cp:revision/>
  <dcterms:created xsi:type="dcterms:W3CDTF">2022-08-13T19:01:59Z</dcterms:created>
  <dcterms:modified xsi:type="dcterms:W3CDTF">2024-02-12T19:34:25Z</dcterms:modified>
  <cp:category/>
  <cp:contentStatus/>
</cp:coreProperties>
</file>