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us WebStorage\julia_petrov@hotmail.com\MySyncFolder\VVPTA\2022-2023\July 2022\"/>
    </mc:Choice>
  </mc:AlternateContent>
  <xr:revisionPtr revIDLastSave="575" documentId="8_{DF5E401E-20B6-4EDF-99F1-99D2B74A958E}" xr6:coauthVersionLast="47" xr6:coauthVersionMax="47" xr10:uidLastSave="{165AC555-3488-4E6A-ADF1-538E4AC96971}"/>
  <bookViews>
    <workbookView xWindow="-120" yWindow="-120" windowWidth="29040" windowHeight="15840" firstSheet="4" activeTab="5" xr2:uid="{B88C7FD0-E993-466A-A8F7-EDEFF2F105CF}"/>
  </bookViews>
  <sheets>
    <sheet name="2023-2024 Budget" sheetId="2" r:id="rId1"/>
    <sheet name="2023-2024 Budget Proposal" sheetId="13" r:id="rId2"/>
    <sheet name="July 2023" sheetId="14" r:id="rId3"/>
    <sheet name="August 2023 " sheetId="15" r:id="rId4"/>
    <sheet name="September 2023" sheetId="16" r:id="rId5"/>
    <sheet name="October 2023" sheetId="1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7" l="1"/>
  <c r="F59" i="17"/>
  <c r="F54" i="17"/>
  <c r="F53" i="17"/>
  <c r="F50" i="17"/>
  <c r="F49" i="17"/>
  <c r="F45" i="17"/>
  <c r="F44" i="17"/>
  <c r="F43" i="17"/>
  <c r="F41" i="17"/>
  <c r="F40" i="17"/>
  <c r="F39" i="17"/>
  <c r="F35" i="17"/>
  <c r="F32" i="17"/>
  <c r="F31" i="17"/>
  <c r="F26" i="17"/>
  <c r="F20" i="17"/>
  <c r="F18" i="17"/>
  <c r="F14" i="17"/>
  <c r="F12" i="17"/>
  <c r="F10" i="17"/>
  <c r="C81" i="17"/>
  <c r="B81" i="17"/>
  <c r="G79" i="17"/>
  <c r="F77" i="17"/>
  <c r="F75" i="17"/>
  <c r="G75" i="17" s="1"/>
  <c r="G81" i="17" s="1"/>
  <c r="F74" i="17"/>
  <c r="F73" i="17"/>
  <c r="F81" i="17" s="1"/>
  <c r="C65" i="17"/>
  <c r="G61" i="17"/>
  <c r="E61" i="17"/>
  <c r="D61" i="17"/>
  <c r="B60" i="17"/>
  <c r="C59" i="17"/>
  <c r="C61" i="17" s="1"/>
  <c r="B59" i="17"/>
  <c r="B58" i="17"/>
  <c r="F57" i="17"/>
  <c r="B57" i="17"/>
  <c r="F56" i="17"/>
  <c r="B56" i="17"/>
  <c r="B55" i="17"/>
  <c r="B54" i="17"/>
  <c r="B52" i="17"/>
  <c r="B51" i="17"/>
  <c r="B50" i="17"/>
  <c r="B49" i="17"/>
  <c r="B48" i="17"/>
  <c r="B46" i="17"/>
  <c r="B45" i="17"/>
  <c r="B43" i="17"/>
  <c r="F42" i="17"/>
  <c r="B42" i="17"/>
  <c r="B41" i="17"/>
  <c r="B40" i="17"/>
  <c r="B39" i="17"/>
  <c r="B37" i="17"/>
  <c r="B35" i="17"/>
  <c r="B34" i="17"/>
  <c r="F61" i="17"/>
  <c r="B32" i="17"/>
  <c r="B31" i="17"/>
  <c r="B61" i="17" s="1"/>
  <c r="G28" i="17"/>
  <c r="G63" i="17" s="1"/>
  <c r="E28" i="17"/>
  <c r="E63" i="17" s="1"/>
  <c r="D28" i="17"/>
  <c r="D63" i="17" s="1"/>
  <c r="C28" i="17"/>
  <c r="C63" i="17" s="1"/>
  <c r="B27" i="17"/>
  <c r="B26" i="17"/>
  <c r="B25" i="17"/>
  <c r="B23" i="17"/>
  <c r="B21" i="17"/>
  <c r="B20" i="17"/>
  <c r="F19" i="17"/>
  <c r="B19" i="17"/>
  <c r="B18" i="17"/>
  <c r="B16" i="17"/>
  <c r="B15" i="17"/>
  <c r="B14" i="17"/>
  <c r="F13" i="17"/>
  <c r="F28" i="17" s="1"/>
  <c r="F63" i="17" s="1"/>
  <c r="B13" i="17"/>
  <c r="B12" i="17"/>
  <c r="B11" i="17"/>
  <c r="B10" i="17"/>
  <c r="B9" i="17"/>
  <c r="B8" i="17"/>
  <c r="B7" i="17"/>
  <c r="B28" i="17" s="1"/>
  <c r="B63" i="17" s="1"/>
  <c r="B66" i="17" s="1"/>
  <c r="F60" i="16"/>
  <c r="F50" i="16"/>
  <c r="F49" i="16"/>
  <c r="F43" i="16"/>
  <c r="F42" i="16"/>
  <c r="F41" i="16"/>
  <c r="F35" i="16"/>
  <c r="F32" i="16"/>
  <c r="F26" i="16"/>
  <c r="F20" i="16"/>
  <c r="F19" i="16"/>
  <c r="F14" i="16"/>
  <c r="F13" i="16"/>
  <c r="F18" i="16"/>
  <c r="C81" i="16"/>
  <c r="B81" i="16"/>
  <c r="G79" i="16"/>
  <c r="F77" i="16"/>
  <c r="F75" i="16"/>
  <c r="G75" i="16" s="1"/>
  <c r="G81" i="16" s="1"/>
  <c r="F74" i="16"/>
  <c r="F73" i="16"/>
  <c r="F81" i="16" s="1"/>
  <c r="C65" i="16"/>
  <c r="G61" i="16"/>
  <c r="E61" i="16"/>
  <c r="D61" i="16"/>
  <c r="B60" i="16"/>
  <c r="C59" i="16"/>
  <c r="C61" i="16" s="1"/>
  <c r="B59" i="16"/>
  <c r="B58" i="16"/>
  <c r="F57" i="16"/>
  <c r="B57" i="16"/>
  <c r="F56" i="16"/>
  <c r="B56" i="16"/>
  <c r="B55" i="16"/>
  <c r="B54" i="16"/>
  <c r="B52" i="16"/>
  <c r="B51" i="16"/>
  <c r="B50" i="16"/>
  <c r="B49" i="16"/>
  <c r="B48" i="16"/>
  <c r="B46" i="16"/>
  <c r="B45" i="16"/>
  <c r="B43" i="16"/>
  <c r="B42" i="16"/>
  <c r="B41" i="16"/>
  <c r="B40" i="16"/>
  <c r="B39" i="16"/>
  <c r="B37" i="16"/>
  <c r="B35" i="16"/>
  <c r="B34" i="16"/>
  <c r="F61" i="16"/>
  <c r="B32" i="16"/>
  <c r="B31" i="16"/>
  <c r="B61" i="16" s="1"/>
  <c r="G28" i="16"/>
  <c r="G63" i="16" s="1"/>
  <c r="E28" i="16"/>
  <c r="E63" i="16" s="1"/>
  <c r="D28" i="16"/>
  <c r="D63" i="16" s="1"/>
  <c r="C28" i="16"/>
  <c r="C63" i="16" s="1"/>
  <c r="B27" i="16"/>
  <c r="B26" i="16"/>
  <c r="B25" i="16"/>
  <c r="B23" i="16"/>
  <c r="B21" i="16"/>
  <c r="B20" i="16"/>
  <c r="B19" i="16"/>
  <c r="F28" i="16"/>
  <c r="F63" i="16" s="1"/>
  <c r="B18" i="16"/>
  <c r="B16" i="16"/>
  <c r="B15" i="16"/>
  <c r="B14" i="16"/>
  <c r="B13" i="16"/>
  <c r="B12" i="16"/>
  <c r="B11" i="16"/>
  <c r="B10" i="16"/>
  <c r="B9" i="16"/>
  <c r="B8" i="16"/>
  <c r="B7" i="16"/>
  <c r="B28" i="16" s="1"/>
  <c r="B63" i="16" s="1"/>
  <c r="B66" i="16" s="1"/>
  <c r="F76" i="13"/>
  <c r="F57" i="15"/>
  <c r="F56" i="15"/>
  <c r="F49" i="15"/>
  <c r="F32" i="15"/>
  <c r="F26" i="15"/>
  <c r="F20" i="15"/>
  <c r="F19" i="15"/>
  <c r="F18" i="15"/>
  <c r="C81" i="15"/>
  <c r="B81" i="15"/>
  <c r="G79" i="15"/>
  <c r="F77" i="15"/>
  <c r="F75" i="15"/>
  <c r="G75" i="15" s="1"/>
  <c r="F74" i="15"/>
  <c r="F73" i="15"/>
  <c r="C65" i="15"/>
  <c r="G61" i="15"/>
  <c r="E61" i="15"/>
  <c r="D61" i="15"/>
  <c r="B60" i="15"/>
  <c r="C59" i="15"/>
  <c r="C61" i="15" s="1"/>
  <c r="B59" i="15"/>
  <c r="B58" i="15"/>
  <c r="B57" i="15"/>
  <c r="B56" i="15"/>
  <c r="B55" i="15"/>
  <c r="B54" i="15"/>
  <c r="B52" i="15"/>
  <c r="B51" i="15"/>
  <c r="B50" i="15"/>
  <c r="B49" i="15"/>
  <c r="B48" i="15"/>
  <c r="B46" i="15"/>
  <c r="B45" i="15"/>
  <c r="B43" i="15"/>
  <c r="B42" i="15"/>
  <c r="B41" i="15"/>
  <c r="B40" i="15"/>
  <c r="B39" i="15"/>
  <c r="B37" i="15"/>
  <c r="B35" i="15"/>
  <c r="B34" i="15"/>
  <c r="F61" i="15"/>
  <c r="B32" i="15"/>
  <c r="B31" i="15"/>
  <c r="B61" i="15" s="1"/>
  <c r="G28" i="15"/>
  <c r="G63" i="15" s="1"/>
  <c r="E28" i="15"/>
  <c r="E63" i="15" s="1"/>
  <c r="D28" i="15"/>
  <c r="D63" i="15" s="1"/>
  <c r="C28" i="15"/>
  <c r="C63" i="15" s="1"/>
  <c r="B27" i="15"/>
  <c r="B26" i="15"/>
  <c r="B25" i="15"/>
  <c r="B23" i="15"/>
  <c r="B21" i="15"/>
  <c r="B20" i="15"/>
  <c r="B19" i="15"/>
  <c r="F28" i="15"/>
  <c r="F63" i="15" s="1"/>
  <c r="B18" i="15"/>
  <c r="B16" i="15"/>
  <c r="B15" i="15"/>
  <c r="B14" i="15"/>
  <c r="B13" i="15"/>
  <c r="B12" i="15"/>
  <c r="B11" i="15"/>
  <c r="B10" i="15"/>
  <c r="B9" i="15"/>
  <c r="B8" i="15"/>
  <c r="B7" i="15"/>
  <c r="B28" i="15" s="1"/>
  <c r="B63" i="15" s="1"/>
  <c r="B66" i="15" s="1"/>
  <c r="F56" i="14"/>
  <c r="F49" i="14"/>
  <c r="F32" i="14"/>
  <c r="F26" i="14"/>
  <c r="F20" i="14"/>
  <c r="F18" i="14"/>
  <c r="D28" i="14"/>
  <c r="E28" i="14"/>
  <c r="F28" i="14"/>
  <c r="F28" i="13"/>
  <c r="E28" i="13"/>
  <c r="C81" i="14"/>
  <c r="B81" i="14"/>
  <c r="G79" i="14"/>
  <c r="F77" i="14"/>
  <c r="F76" i="14"/>
  <c r="F75" i="14"/>
  <c r="G75" i="14" s="1"/>
  <c r="F74" i="14"/>
  <c r="F73" i="14"/>
  <c r="C65" i="14"/>
  <c r="G61" i="14"/>
  <c r="F61" i="14"/>
  <c r="F63" i="14" s="1"/>
  <c r="E61" i="14"/>
  <c r="E63" i="14" s="1"/>
  <c r="D61" i="14"/>
  <c r="D63" i="14" s="1"/>
  <c r="B60" i="14"/>
  <c r="C59" i="14"/>
  <c r="C61" i="14" s="1"/>
  <c r="B59" i="14"/>
  <c r="B58" i="14"/>
  <c r="B57" i="14"/>
  <c r="B56" i="14"/>
  <c r="B55" i="14"/>
  <c r="B54" i="14"/>
  <c r="B52" i="14"/>
  <c r="B51" i="14"/>
  <c r="B50" i="14"/>
  <c r="B49" i="14"/>
  <c r="B48" i="14"/>
  <c r="B46" i="14"/>
  <c r="B45" i="14"/>
  <c r="B43" i="14"/>
  <c r="B42" i="14"/>
  <c r="B41" i="14"/>
  <c r="B40" i="14"/>
  <c r="B39" i="14"/>
  <c r="B37" i="14"/>
  <c r="B35" i="14"/>
  <c r="B34" i="14"/>
  <c r="B32" i="14"/>
  <c r="B31" i="14"/>
  <c r="B61" i="14" s="1"/>
  <c r="G28" i="14"/>
  <c r="G63" i="14" s="1"/>
  <c r="C28" i="14"/>
  <c r="C63" i="14" s="1"/>
  <c r="B27" i="14"/>
  <c r="B26" i="14"/>
  <c r="B25" i="14"/>
  <c r="B23" i="14"/>
  <c r="B21" i="14"/>
  <c r="B20" i="14"/>
  <c r="B19" i="14"/>
  <c r="B18" i="14"/>
  <c r="B16" i="14"/>
  <c r="B15" i="14"/>
  <c r="B14" i="14"/>
  <c r="B13" i="14"/>
  <c r="B12" i="14"/>
  <c r="B11" i="14"/>
  <c r="B10" i="14"/>
  <c r="B9" i="14"/>
  <c r="B8" i="14"/>
  <c r="B7" i="14"/>
  <c r="B28" i="14" s="1"/>
  <c r="B63" i="14" s="1"/>
  <c r="B66" i="14" s="1"/>
  <c r="C59" i="13"/>
  <c r="C61" i="13" s="1"/>
  <c r="C28" i="13"/>
  <c r="C63" i="13" s="1"/>
  <c r="B60" i="13"/>
  <c r="B59" i="13"/>
  <c r="B58" i="13"/>
  <c r="B57" i="13"/>
  <c r="B56" i="13"/>
  <c r="B55" i="13"/>
  <c r="B54" i="13"/>
  <c r="B52" i="13"/>
  <c r="B51" i="13"/>
  <c r="B50" i="13"/>
  <c r="B49" i="13"/>
  <c r="B48" i="13"/>
  <c r="B46" i="13"/>
  <c r="B45" i="13"/>
  <c r="B43" i="13"/>
  <c r="B42" i="13"/>
  <c r="B41" i="13"/>
  <c r="B40" i="13"/>
  <c r="B39" i="13"/>
  <c r="B37" i="13"/>
  <c r="B35" i="13"/>
  <c r="B34" i="13"/>
  <c r="B32" i="13"/>
  <c r="B31" i="13"/>
  <c r="B61" i="13" s="1"/>
  <c r="B27" i="13"/>
  <c r="B26" i="13"/>
  <c r="B25" i="13"/>
  <c r="B23" i="13"/>
  <c r="B21" i="13"/>
  <c r="B20" i="13"/>
  <c r="B19" i="13"/>
  <c r="B18" i="13"/>
  <c r="B16" i="13"/>
  <c r="B15" i="13"/>
  <c r="B14" i="13"/>
  <c r="B13" i="13"/>
  <c r="B12" i="13"/>
  <c r="B11" i="13"/>
  <c r="B10" i="13"/>
  <c r="B9" i="13"/>
  <c r="B8" i="13"/>
  <c r="B7" i="13"/>
  <c r="B28" i="13" s="1"/>
  <c r="B63" i="13" s="1"/>
  <c r="B66" i="13"/>
  <c r="F71" i="13"/>
  <c r="C80" i="13"/>
  <c r="B80" i="13"/>
  <c r="G79" i="13"/>
  <c r="F77" i="13"/>
  <c r="F75" i="13"/>
  <c r="G75" i="13" s="1"/>
  <c r="F74" i="13"/>
  <c r="F73" i="13"/>
  <c r="C65" i="13"/>
  <c r="E61" i="13"/>
  <c r="D61" i="13"/>
  <c r="G61" i="13"/>
  <c r="F61" i="13"/>
  <c r="G28" i="13"/>
  <c r="G63" i="13" s="1"/>
  <c r="E63" i="13"/>
  <c r="D63" i="13"/>
  <c r="F63" i="13"/>
  <c r="C82" i="17" l="1"/>
  <c r="F65" i="17"/>
  <c r="C66" i="17"/>
  <c r="B82" i="17"/>
  <c r="B83" i="17" s="1"/>
  <c r="C83" i="17"/>
  <c r="C82" i="16"/>
  <c r="F65" i="16"/>
  <c r="C66" i="16"/>
  <c r="B82" i="16"/>
  <c r="B83" i="16" s="1"/>
  <c r="C83" i="16"/>
  <c r="C82" i="15"/>
  <c r="F65" i="15"/>
  <c r="C66" i="15"/>
  <c r="F81" i="15"/>
  <c r="G81" i="15"/>
  <c r="B82" i="15"/>
  <c r="B83" i="15" s="1"/>
  <c r="C83" i="15"/>
  <c r="C82" i="14"/>
  <c r="F65" i="14"/>
  <c r="C66" i="14"/>
  <c r="F81" i="14"/>
  <c r="G81" i="14"/>
  <c r="B82" i="14"/>
  <c r="B83" i="14" s="1"/>
  <c r="C83" i="14"/>
  <c r="C81" i="13"/>
  <c r="F65" i="13"/>
  <c r="C66" i="13"/>
  <c r="F80" i="13"/>
  <c r="G80" i="13"/>
  <c r="B81" i="13"/>
  <c r="B82" i="13" s="1"/>
  <c r="C82" i="13"/>
  <c r="F82" i="17" l="1"/>
  <c r="F83" i="17" s="1"/>
  <c r="F66" i="17"/>
  <c r="G65" i="17"/>
  <c r="G66" i="17" s="1"/>
  <c r="G82" i="17" s="1"/>
  <c r="G83" i="17" s="1"/>
  <c r="F82" i="16"/>
  <c r="F83" i="16" s="1"/>
  <c r="F66" i="16"/>
  <c r="G65" i="16"/>
  <c r="G66" i="16" s="1"/>
  <c r="G82" i="16" s="1"/>
  <c r="G83" i="16" s="1"/>
  <c r="F82" i="15"/>
  <c r="F83" i="15" s="1"/>
  <c r="F66" i="15"/>
  <c r="G65" i="15"/>
  <c r="G66" i="15" s="1"/>
  <c r="G82" i="15" s="1"/>
  <c r="G83" i="15" s="1"/>
  <c r="F82" i="14"/>
  <c r="F83" i="14" s="1"/>
  <c r="F66" i="14"/>
  <c r="G65" i="14"/>
  <c r="G66" i="14" s="1"/>
  <c r="G82" i="14" s="1"/>
  <c r="G83" i="14" s="1"/>
  <c r="F81" i="13"/>
  <c r="F82" i="13" s="1"/>
  <c r="F66" i="13"/>
  <c r="G65" i="13"/>
  <c r="G66" i="13" s="1"/>
  <c r="G81" i="13" s="1"/>
  <c r="G82" i="13" s="1"/>
</calcChain>
</file>

<file path=xl/sharedStrings.xml><?xml version="1.0" encoding="utf-8"?>
<sst xmlns="http://schemas.openxmlformats.org/spreadsheetml/2006/main" count="465" uniqueCount="88">
  <si>
    <t>Valle Verde Elementary School PTA 2023/2024 Budget &amp; YTD Results</t>
  </si>
  <si>
    <t>2022/2023</t>
  </si>
  <si>
    <t>2023/2024</t>
  </si>
  <si>
    <t>YTD Actual</t>
  </si>
  <si>
    <t>Budget</t>
  </si>
  <si>
    <t>Previous</t>
  </si>
  <si>
    <t>Current</t>
  </si>
  <si>
    <t>As of 6/30/23</t>
  </si>
  <si>
    <t>July</t>
  </si>
  <si>
    <t>As of 6/30/24</t>
  </si>
  <si>
    <t>Income:</t>
  </si>
  <si>
    <t>Orchards Art Show Fund</t>
  </si>
  <si>
    <t>Book Fair</t>
  </si>
  <si>
    <t>Box Tops</t>
  </si>
  <si>
    <t>Carnival</t>
  </si>
  <si>
    <t>Amazon Smile</t>
  </si>
  <si>
    <t>Dine Around</t>
  </si>
  <si>
    <t>DREAM Committee</t>
  </si>
  <si>
    <t>Fun Run</t>
  </si>
  <si>
    <t>Shop &amp; Give</t>
  </si>
  <si>
    <t>Sponsorship</t>
  </si>
  <si>
    <t>Fund-A-Need</t>
  </si>
  <si>
    <t>Interest Income</t>
  </si>
  <si>
    <t>Misc. Income</t>
  </si>
  <si>
    <t>PTA Dues</t>
  </si>
  <si>
    <t>Spring Event</t>
  </si>
  <si>
    <t>Spring Fling</t>
  </si>
  <si>
    <t>Spirit Wear</t>
  </si>
  <si>
    <t>Steam</t>
  </si>
  <si>
    <t>5th Grade Event</t>
  </si>
  <si>
    <t>Viking Fund</t>
  </si>
  <si>
    <t>Yearbook</t>
  </si>
  <si>
    <t>Total Income:</t>
  </si>
  <si>
    <t>Expenditures:</t>
  </si>
  <si>
    <t>Bank Charges</t>
  </si>
  <si>
    <t>Class Teacher Allocation</t>
  </si>
  <si>
    <t xml:space="preserve">Credit Card Processing </t>
  </si>
  <si>
    <t>Crossing Guard</t>
  </si>
  <si>
    <t>Custodian Appreciation Week</t>
  </si>
  <si>
    <t>Emergency Backpacks</t>
  </si>
  <si>
    <t>Family Events/STEAM</t>
  </si>
  <si>
    <t>Hospitality</t>
  </si>
  <si>
    <t>Instructional Assistant</t>
  </si>
  <si>
    <t>Insurance</t>
  </si>
  <si>
    <t>Campus Beautificaton/Landscaping</t>
  </si>
  <si>
    <t>Life Lab</t>
  </si>
  <si>
    <t>Misc. Expense</t>
  </si>
  <si>
    <t>Principal's Fund</t>
  </si>
  <si>
    <t>PTA Functional</t>
  </si>
  <si>
    <t>Reading Specialist</t>
  </si>
  <si>
    <t>School Play</t>
  </si>
  <si>
    <t>Service Awards</t>
  </si>
  <si>
    <t>Teacher Grant Expense</t>
  </si>
  <si>
    <t xml:space="preserve">Technology </t>
  </si>
  <si>
    <t>Technology Software</t>
  </si>
  <si>
    <t>Website</t>
  </si>
  <si>
    <t>Graduating Class</t>
  </si>
  <si>
    <t>Fund a Need</t>
  </si>
  <si>
    <t>Total Expenses:</t>
  </si>
  <si>
    <t>Total Income Less Expenses:</t>
  </si>
  <si>
    <t>Beginning Cash</t>
  </si>
  <si>
    <t>Ending Cash</t>
  </si>
  <si>
    <t>Reserves (Restricted Cash)</t>
  </si>
  <si>
    <t>Beginning</t>
  </si>
  <si>
    <t>Ending</t>
  </si>
  <si>
    <t>Graduating Class 2022</t>
  </si>
  <si>
    <t>Graduating Class 2023</t>
  </si>
  <si>
    <t>Graduating Class 2024</t>
  </si>
  <si>
    <t>Graduating Class 2025</t>
  </si>
  <si>
    <t>Art Docent Program</t>
  </si>
  <si>
    <t>Sandy Himel Grant</t>
  </si>
  <si>
    <t>School Play Reserve</t>
  </si>
  <si>
    <t>Fund-A-Need: STEAM</t>
  </si>
  <si>
    <t>Fund-A-Need: Most Wanted</t>
  </si>
  <si>
    <t>Fund-A-Need: 2023</t>
  </si>
  <si>
    <t>Education Fund</t>
  </si>
  <si>
    <t>Check</t>
  </si>
  <si>
    <t>Restricted Cash</t>
  </si>
  <si>
    <t>Unrestricted Cash</t>
  </si>
  <si>
    <t>Total Cash</t>
  </si>
  <si>
    <t>As of 7/31/23</t>
  </si>
  <si>
    <t>August</t>
  </si>
  <si>
    <t>As of 8/31/23</t>
  </si>
  <si>
    <t>September</t>
  </si>
  <si>
    <t>As of 9/30/23</t>
  </si>
  <si>
    <t>Fund a Need - 2023</t>
  </si>
  <si>
    <t>October</t>
  </si>
  <si>
    <t>As of 10/31/23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</si>
</sst>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_);[Red]\(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/>
    <xf numFmtId="5" fontId="0" fillId="0" borderId="10" xfId="0" applyNumberFormat="1" applyBorder="1"/>
    <xf numFmtId="5" fontId="0" fillId="0" borderId="11" xfId="0" applyNumberFormat="1" applyBorder="1"/>
    <xf numFmtId="5" fontId="0" fillId="0" borderId="0" xfId="0" applyNumberFormat="1"/>
    <xf numFmtId="0" fontId="0" fillId="0" borderId="11" xfId="0" applyBorder="1"/>
    <xf numFmtId="5" fontId="5" fillId="0" borderId="0" xfId="0" applyNumberFormat="1" applyFont="1" applyAlignment="1">
      <alignment horizontal="right"/>
    </xf>
    <xf numFmtId="38" fontId="0" fillId="0" borderId="10" xfId="0" applyNumberFormat="1" applyBorder="1"/>
    <xf numFmtId="38" fontId="6" fillId="0" borderId="11" xfId="0" applyNumberFormat="1" applyFont="1" applyBorder="1" applyAlignment="1">
      <alignment horizontal="right"/>
    </xf>
    <xf numFmtId="38" fontId="0" fillId="0" borderId="0" xfId="0" applyNumberFormat="1"/>
    <xf numFmtId="0" fontId="7" fillId="0" borderId="0" xfId="0" applyFont="1" applyAlignment="1">
      <alignment horizontal="right"/>
    </xf>
    <xf numFmtId="5" fontId="8" fillId="0" borderId="0" xfId="0" applyNumberFormat="1" applyFont="1" applyAlignment="1">
      <alignment horizontal="left"/>
    </xf>
    <xf numFmtId="38" fontId="2" fillId="0" borderId="12" xfId="0" applyNumberFormat="1" applyFont="1" applyBorder="1"/>
    <xf numFmtId="38" fontId="2" fillId="0" borderId="13" xfId="0" applyNumberFormat="1" applyFont="1" applyBorder="1"/>
    <xf numFmtId="38" fontId="0" fillId="0" borderId="11" xfId="0" applyNumberFormat="1" applyBorder="1"/>
    <xf numFmtId="38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8" fontId="2" fillId="0" borderId="17" xfId="0" applyNumberFormat="1" applyFont="1" applyBorder="1"/>
    <xf numFmtId="38" fontId="9" fillId="0" borderId="16" xfId="0" applyNumberFormat="1" applyFont="1" applyBorder="1"/>
    <xf numFmtId="0" fontId="2" fillId="0" borderId="0" xfId="0" applyFont="1" applyAlignment="1">
      <alignment horizontal="left"/>
    </xf>
    <xf numFmtId="38" fontId="0" fillId="0" borderId="18" xfId="0" applyNumberFormat="1" applyBorder="1"/>
    <xf numFmtId="38" fontId="0" fillId="0" borderId="19" xfId="0" applyNumberFormat="1" applyBorder="1"/>
    <xf numFmtId="38" fontId="0" fillId="0" borderId="20" xfId="0" applyNumberFormat="1" applyBorder="1"/>
    <xf numFmtId="38" fontId="0" fillId="0" borderId="21" xfId="0" applyNumberFormat="1" applyBorder="1"/>
    <xf numFmtId="38" fontId="0" fillId="0" borderId="22" xfId="0" applyNumberFormat="1" applyBorder="1"/>
    <xf numFmtId="38" fontId="0" fillId="0" borderId="9" xfId="0" applyNumberFormat="1" applyBorder="1"/>
    <xf numFmtId="38" fontId="0" fillId="0" borderId="8" xfId="0" applyNumberFormat="1" applyBorder="1"/>
    <xf numFmtId="6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0" fillId="0" borderId="0" xfId="1" applyNumberFormat="1" applyFont="1" applyFill="1"/>
    <xf numFmtId="0" fontId="0" fillId="0" borderId="23" xfId="0" applyBorder="1"/>
    <xf numFmtId="0" fontId="10" fillId="0" borderId="0" xfId="0" applyFont="1" applyAlignment="1">
      <alignment horizontal="right"/>
    </xf>
    <xf numFmtId="38" fontId="10" fillId="0" borderId="0" xfId="0" applyNumberFormat="1" applyFont="1"/>
    <xf numFmtId="0" fontId="10" fillId="0" borderId="0" xfId="0" applyFont="1"/>
    <xf numFmtId="38" fontId="0" fillId="0" borderId="0" xfId="0" applyNumberFormat="1" applyFill="1"/>
    <xf numFmtId="38" fontId="6" fillId="0" borderId="11" xfId="0" applyNumberFormat="1" applyFont="1" applyFill="1" applyBorder="1" applyAlignment="1">
      <alignment horizontal="right"/>
    </xf>
    <xf numFmtId="38" fontId="0" fillId="0" borderId="15" xfId="0" applyNumberFormat="1" applyFill="1" applyBorder="1"/>
    <xf numFmtId="38" fontId="6" fillId="0" borderId="14" xfId="0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24" xfId="0" applyNumberFormat="1" applyBorder="1"/>
    <xf numFmtId="0" fontId="0" fillId="0" borderId="24" xfId="0" applyBorder="1"/>
    <xf numFmtId="38" fontId="0" fillId="0" borderId="25" xfId="0" applyNumberFormat="1" applyFill="1" applyBorder="1"/>
    <xf numFmtId="38" fontId="0" fillId="0" borderId="25" xfId="0" applyNumberFormat="1" applyBorder="1"/>
    <xf numFmtId="38" fontId="2" fillId="0" borderId="26" xfId="0" applyNumberFormat="1" applyFont="1" applyBorder="1"/>
    <xf numFmtId="38" fontId="0" fillId="0" borderId="27" xfId="0" applyNumberFormat="1" applyFill="1" applyBorder="1"/>
    <xf numFmtId="38" fontId="2" fillId="0" borderId="28" xfId="0" applyNumberFormat="1" applyFont="1" applyBorder="1"/>
    <xf numFmtId="5" fontId="0" fillId="0" borderId="29" xfId="0" applyNumberFormat="1" applyBorder="1"/>
    <xf numFmtId="5" fontId="0" fillId="0" borderId="30" xfId="0" applyNumberFormat="1" applyBorder="1"/>
    <xf numFmtId="38" fontId="9" fillId="0" borderId="17" xfId="0" applyNumberFormat="1" applyFont="1" applyBorder="1"/>
    <xf numFmtId="38" fontId="2" fillId="0" borderId="32" xfId="0" applyNumberFormat="1" applyFont="1" applyBorder="1"/>
    <xf numFmtId="0" fontId="0" fillId="0" borderId="31" xfId="0" applyBorder="1"/>
    <xf numFmtId="38" fontId="0" fillId="0" borderId="33" xfId="0" applyNumberFormat="1" applyFont="1" applyBorder="1"/>
    <xf numFmtId="38" fontId="0" fillId="2" borderId="25" xfId="0" applyNumberFormat="1" applyFill="1" applyBorder="1"/>
    <xf numFmtId="38" fontId="6" fillId="2" borderId="11" xfId="0" applyNumberFormat="1" applyFont="1" applyFill="1" applyBorder="1" applyAlignment="1">
      <alignment horizontal="right"/>
    </xf>
    <xf numFmtId="38" fontId="6" fillId="2" borderId="0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1C93-5381-4003-AB2F-09F9F36508F0}">
  <dimension ref="A1"/>
  <sheetViews>
    <sheetView workbookViewId="0">
      <selection activeCell="W18" sqref="W18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C15D2-6D99-4F4F-AE5B-C2DF173B2A7C}">
  <dimension ref="A1:H82"/>
  <sheetViews>
    <sheetView topLeftCell="A57" workbookViewId="0">
      <selection activeCell="C77" sqref="C77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/>
      <c r="E5" s="9" t="s">
        <v>8</v>
      </c>
      <c r="F5" s="9" t="s">
        <v>9</v>
      </c>
      <c r="G5" s="10" t="s">
        <v>2</v>
      </c>
    </row>
    <row r="6" spans="1:7">
      <c r="A6" s="11" t="s">
        <v>10</v>
      </c>
      <c r="B6" s="58"/>
      <c r="C6" s="59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50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50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50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50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50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50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50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50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50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50"/>
      <c r="E16" s="19"/>
      <c r="F16" s="19"/>
      <c r="G16" s="18">
        <v>4500</v>
      </c>
    </row>
    <row r="17" spans="1:8" ht="15.75">
      <c r="A17" s="16" t="s">
        <v>21</v>
      </c>
      <c r="B17" s="54">
        <v>19859</v>
      </c>
      <c r="C17" s="18">
        <v>0</v>
      </c>
      <c r="D17" s="50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50"/>
      <c r="E18" s="19"/>
      <c r="F18" s="19"/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50"/>
      <c r="E19" s="19"/>
      <c r="F19" s="46"/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50"/>
      <c r="E20" s="19"/>
      <c r="F20" s="46"/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50"/>
      <c r="E21" s="19"/>
      <c r="F21" s="46"/>
      <c r="G21" s="47">
        <v>0</v>
      </c>
    </row>
    <row r="22" spans="1:8" ht="15.75">
      <c r="A22" s="20" t="s">
        <v>26</v>
      </c>
      <c r="B22" s="54">
        <v>91181</v>
      </c>
      <c r="C22" s="18">
        <v>60000</v>
      </c>
      <c r="D22" s="50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50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50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50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50"/>
      <c r="E26" s="19"/>
      <c r="F26" s="19"/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50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/>
      <c r="E28" s="23">
        <f>SUM(E6:E27)</f>
        <v>0</v>
      </c>
      <c r="F28" s="23">
        <f>SUM(F6:F27)</f>
        <v>0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50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50"/>
      <c r="E31" s="50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50"/>
      <c r="F32" s="19"/>
      <c r="G32" s="18">
        <v>-10000</v>
      </c>
    </row>
    <row r="33" spans="1:7" ht="15.75">
      <c r="A33" s="16" t="s">
        <v>37</v>
      </c>
      <c r="B33" s="54"/>
      <c r="C33" s="18">
        <v>-6520</v>
      </c>
      <c r="D33" s="50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50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50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50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50"/>
      <c r="E37" s="50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50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50"/>
      <c r="E39" s="50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50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50"/>
      <c r="E41" s="50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50"/>
      <c r="F42" s="19"/>
      <c r="G42" s="18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50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50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50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50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50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50"/>
      <c r="F48" s="19"/>
      <c r="G48" s="18">
        <v>-1000</v>
      </c>
    </row>
    <row r="49" spans="1:8" ht="15.75">
      <c r="A49" s="16" t="s">
        <v>48</v>
      </c>
      <c r="B49" s="54">
        <f>-14.99+-14.99+-14.99+-379+-15+-15-990-16-16-16-365</f>
        <v>-1856.97</v>
      </c>
      <c r="C49" s="18">
        <v>-1500</v>
      </c>
      <c r="D49" s="50"/>
      <c r="E49" s="50"/>
      <c r="F49" s="19"/>
      <c r="G49" s="18">
        <v>-2000</v>
      </c>
    </row>
    <row r="50" spans="1:8" ht="15.75">
      <c r="A50" s="16" t="s">
        <v>49</v>
      </c>
      <c r="B50" s="54">
        <f>-14572+-9657-14486</f>
        <v>-38715</v>
      </c>
      <c r="C50" s="18">
        <v>-60000</v>
      </c>
      <c r="D50" s="50"/>
      <c r="F50" s="19"/>
      <c r="G50" s="18">
        <v>-60000</v>
      </c>
    </row>
    <row r="51" spans="1:8" ht="15.75">
      <c r="A51" s="16" t="s">
        <v>50</v>
      </c>
      <c r="B51" s="54">
        <f>-720</f>
        <v>-720</v>
      </c>
      <c r="C51" s="18">
        <v>0</v>
      </c>
      <c r="D51" s="50"/>
      <c r="F51" s="19"/>
      <c r="G51" s="18">
        <v>-800</v>
      </c>
    </row>
    <row r="52" spans="1:8" ht="15.75">
      <c r="A52" s="16" t="s">
        <v>51</v>
      </c>
      <c r="B52" s="54">
        <f>-438</f>
        <v>-438</v>
      </c>
      <c r="C52" s="18">
        <v>-500</v>
      </c>
      <c r="D52" s="50"/>
      <c r="F52" s="19"/>
      <c r="G52" s="18">
        <v>-500</v>
      </c>
    </row>
    <row r="53" spans="1:8" ht="15.75">
      <c r="A53" s="16" t="s">
        <v>52</v>
      </c>
      <c r="B53" s="54"/>
      <c r="C53" s="18">
        <v>-2000</v>
      </c>
      <c r="D53" s="50"/>
      <c r="F53" s="19"/>
      <c r="G53" s="18">
        <v>-2000</v>
      </c>
    </row>
    <row r="54" spans="1:8" ht="15.75">
      <c r="A54" s="16" t="s">
        <v>53</v>
      </c>
      <c r="B54" s="53">
        <f>-639.73+-455-430</f>
        <v>-1524.73</v>
      </c>
      <c r="C54" s="47">
        <v>-2400</v>
      </c>
      <c r="D54" s="50"/>
      <c r="F54" s="46"/>
      <c r="G54" s="47">
        <v>-2000</v>
      </c>
    </row>
    <row r="55" spans="1:8" ht="15.75">
      <c r="A55" s="16" t="s">
        <v>54</v>
      </c>
      <c r="B55" s="54">
        <f>-1200</f>
        <v>-1200</v>
      </c>
      <c r="C55" s="18">
        <v>-10000</v>
      </c>
      <c r="D55" s="50"/>
      <c r="F55" s="19"/>
      <c r="G55" s="18">
        <v>-10000</v>
      </c>
    </row>
    <row r="56" spans="1:8" ht="15.75">
      <c r="A56" s="16" t="s">
        <v>55</v>
      </c>
      <c r="B56" s="54">
        <f>-72+-379.66+-409</f>
        <v>-860.66000000000008</v>
      </c>
      <c r="C56" s="18">
        <v>-400</v>
      </c>
      <c r="D56" s="50"/>
      <c r="F56" s="19"/>
      <c r="G56" s="18">
        <v>-1000</v>
      </c>
    </row>
    <row r="57" spans="1:8" ht="15.75">
      <c r="A57" s="16" t="s">
        <v>31</v>
      </c>
      <c r="B57" s="54">
        <f>-2025.9</f>
        <v>-2025.9</v>
      </c>
      <c r="C57" s="18">
        <v>-2000</v>
      </c>
      <c r="D57" s="50"/>
      <c r="F57" s="19"/>
      <c r="G57" s="18">
        <v>-2000</v>
      </c>
    </row>
    <row r="58" spans="1:8" ht="15.75">
      <c r="A58" s="16" t="s">
        <v>11</v>
      </c>
      <c r="B58" s="53">
        <f>-698-457-680-158</f>
        <v>-1993</v>
      </c>
      <c r="C58" s="47">
        <v>-2500</v>
      </c>
      <c r="D58" s="50"/>
      <c r="E58" s="50"/>
      <c r="F58" s="46"/>
      <c r="G58" s="47">
        <v>-2000</v>
      </c>
    </row>
    <row r="59" spans="1:8">
      <c r="A59" s="26" t="s">
        <v>56</v>
      </c>
      <c r="B59" s="54">
        <f>-172+-3262+-600-1627-4837-4878-3856</f>
        <v>-19232</v>
      </c>
      <c r="C59" s="18">
        <f>-9655-14198</f>
        <v>-23853</v>
      </c>
      <c r="D59" s="50"/>
      <c r="E59" s="50"/>
      <c r="F59" s="19"/>
      <c r="G59" s="18">
        <v>-17500</v>
      </c>
    </row>
    <row r="60" spans="1:8">
      <c r="A60" s="26" t="s">
        <v>57</v>
      </c>
      <c r="B60" s="56">
        <f>-8627.84-1150</f>
        <v>-9777.84</v>
      </c>
      <c r="C60" s="49">
        <v>-14253</v>
      </c>
      <c r="D60" s="51"/>
      <c r="E60" s="52"/>
      <c r="F60" s="48"/>
      <c r="G60" s="49">
        <v>-19800</v>
      </c>
    </row>
    <row r="61" spans="1:8" ht="15.75">
      <c r="A61" s="21" t="s">
        <v>58</v>
      </c>
      <c r="B61" s="57">
        <f>SUM(B29:B60)</f>
        <v>-254825.37000000002</v>
      </c>
      <c r="C61" s="28">
        <f>SUM(C29:C60)</f>
        <v>-324376</v>
      </c>
      <c r="D61" s="27">
        <f>SUM(D29:D60)</f>
        <v>0</v>
      </c>
      <c r="E61" s="27">
        <f>SUM(E29:E60)</f>
        <v>0</v>
      </c>
      <c r="F61" s="27">
        <f>SUM(F29:F60)</f>
        <v>0</v>
      </c>
      <c r="G61" s="28">
        <f>SUM(G29:G60)</f>
        <v>-303720</v>
      </c>
      <c r="H61" s="11"/>
    </row>
    <row r="62" spans="1:8">
      <c r="A62" s="29"/>
      <c r="B62" s="54"/>
      <c r="C62" s="24"/>
      <c r="D62" s="19"/>
      <c r="E62" s="19"/>
      <c r="F62" s="19"/>
      <c r="G62" s="24"/>
    </row>
    <row r="63" spans="1:8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0</v>
      </c>
      <c r="E63" s="23">
        <f>E28+E61</f>
        <v>0</v>
      </c>
      <c r="F63" s="23">
        <f>F28+F61</f>
        <v>0</v>
      </c>
      <c r="G63" s="22">
        <f>G28+G61</f>
        <v>-41420</v>
      </c>
      <c r="H63" s="11"/>
    </row>
    <row r="64" spans="1:8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374142.16999999993</v>
      </c>
      <c r="G66" s="36">
        <f>G65+G63</f>
        <v>332722.16999999993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f>C71</f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f>C76-19150</f>
        <v>-19150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/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  <c r="H79" t="s">
        <v>76</v>
      </c>
    </row>
    <row r="80" spans="1:8">
      <c r="A80" s="43" t="s">
        <v>77</v>
      </c>
      <c r="B80" s="44">
        <f>SUM(B69:B79)</f>
        <v>130624.56</v>
      </c>
      <c r="C80" s="44">
        <f>SUM(C69:C79)</f>
        <v>188638.12</v>
      </c>
      <c r="D80" s="44"/>
      <c r="E80" s="44"/>
      <c r="F80" s="44">
        <f>SUM(F69:F79)</f>
        <v>171498.28</v>
      </c>
      <c r="G80" s="44">
        <f>SUM(G69:G79)</f>
        <v>153324.35999999999</v>
      </c>
      <c r="H80" s="45"/>
    </row>
    <row r="81" spans="1:8">
      <c r="A81" s="43" t="s">
        <v>78</v>
      </c>
      <c r="B81" s="44">
        <f>B65-B80</f>
        <v>182190.44</v>
      </c>
      <c r="C81" s="44">
        <f>B66-C80</f>
        <v>185504.04999999993</v>
      </c>
      <c r="D81" s="44"/>
      <c r="E81" s="44"/>
      <c r="F81" s="44">
        <f>F65-F80</f>
        <v>202643.88999999993</v>
      </c>
      <c r="G81" s="44">
        <f>G66-G80</f>
        <v>179397.80999999994</v>
      </c>
      <c r="H81" s="45"/>
    </row>
    <row r="82" spans="1:8">
      <c r="A82" s="43" t="s">
        <v>79</v>
      </c>
      <c r="B82" s="44">
        <f>SUM(B80:B81)</f>
        <v>312815</v>
      </c>
      <c r="C82" s="44">
        <f t="shared" ref="C82:G82" si="1">SUM(C80:C81)</f>
        <v>374142.16999999993</v>
      </c>
      <c r="D82" s="44"/>
      <c r="E82" s="44"/>
      <c r="F82" s="44">
        <f t="shared" si="1"/>
        <v>374142.16999999993</v>
      </c>
      <c r="G82" s="44">
        <f t="shared" si="1"/>
        <v>332722.16999999993</v>
      </c>
      <c r="H82" s="45"/>
    </row>
  </sheetData>
  <mergeCells count="2">
    <mergeCell ref="B3:C3"/>
    <mergeCell ref="D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F78F2-2A0F-4FFF-8600-536F66416D36}">
  <dimension ref="A1:H83"/>
  <sheetViews>
    <sheetView topLeftCell="A59" workbookViewId="0">
      <selection activeCell="C77" sqref="C77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/>
      <c r="E5" s="9" t="s">
        <v>8</v>
      </c>
      <c r="F5" s="9" t="s">
        <v>80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50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50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50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50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50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50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50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50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50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50"/>
      <c r="E16" s="19"/>
      <c r="F16" s="19"/>
      <c r="G16" s="18">
        <v>4500</v>
      </c>
    </row>
    <row r="17" spans="1:8" ht="15.75">
      <c r="A17" s="16" t="s">
        <v>21</v>
      </c>
      <c r="B17" s="54">
        <v>19859</v>
      </c>
      <c r="C17" s="18">
        <v>0</v>
      </c>
      <c r="D17" s="50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50"/>
      <c r="E18" s="19">
        <v>3.74</v>
      </c>
      <c r="F18" s="19">
        <f>4</f>
        <v>4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50"/>
      <c r="E19" s="19"/>
      <c r="F19" s="46"/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50"/>
      <c r="E20" s="19">
        <v>102</v>
      </c>
      <c r="F20" s="46">
        <f>102</f>
        <v>102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50"/>
      <c r="E21" s="19"/>
      <c r="F21" s="46"/>
      <c r="G21" s="47">
        <v>0</v>
      </c>
    </row>
    <row r="22" spans="1:8" ht="15.75">
      <c r="A22" s="20" t="s">
        <v>26</v>
      </c>
      <c r="B22" s="54">
        <v>91181</v>
      </c>
      <c r="C22" s="18">
        <v>60000</v>
      </c>
      <c r="D22" s="50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50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50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50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50"/>
      <c r="E26" s="19">
        <v>465</v>
      </c>
      <c r="F26" s="19">
        <f>465</f>
        <v>465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50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0</v>
      </c>
      <c r="E28" s="23">
        <f>SUM(E6:E27)</f>
        <v>570.74</v>
      </c>
      <c r="F28" s="23">
        <f>SUM(F6:F27)</f>
        <v>571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50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50"/>
      <c r="E31" s="19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50"/>
      <c r="E32" s="19">
        <v>-15.35</v>
      </c>
      <c r="F32" s="19">
        <f>-15</f>
        <v>-15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50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50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50"/>
      <c r="E35" s="19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50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50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50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50"/>
      <c r="E39" s="19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50"/>
      <c r="E40" s="19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50"/>
      <c r="E41" s="19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50"/>
      <c r="E42" s="19"/>
      <c r="F42" s="19"/>
      <c r="G42" s="18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50"/>
      <c r="E43" s="19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50"/>
      <c r="E44" s="19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50"/>
      <c r="E45" s="19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50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50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50"/>
      <c r="E48" s="19"/>
      <c r="F48" s="19"/>
      <c r="G48" s="18">
        <v>-1000</v>
      </c>
    </row>
    <row r="49" spans="1:8" ht="15.75">
      <c r="A49" s="16" t="s">
        <v>48</v>
      </c>
      <c r="B49" s="54">
        <f>-14.99+-14.99+-14.99+-379+-15+-15-990-16-16-16-365</f>
        <v>-1856.97</v>
      </c>
      <c r="C49" s="18">
        <v>-1500</v>
      </c>
      <c r="D49" s="50"/>
      <c r="E49" s="19">
        <v>-15.99</v>
      </c>
      <c r="F49" s="19">
        <f>-16</f>
        <v>-16</v>
      </c>
      <c r="G49" s="18">
        <v>-2000</v>
      </c>
    </row>
    <row r="50" spans="1:8" ht="15.75">
      <c r="A50" s="16" t="s">
        <v>49</v>
      </c>
      <c r="B50" s="54">
        <f>-14572+-9657-14486</f>
        <v>-38715</v>
      </c>
      <c r="C50" s="18">
        <v>-60000</v>
      </c>
      <c r="D50" s="50"/>
      <c r="E50" s="19"/>
      <c r="F50" s="19"/>
      <c r="G50" s="18">
        <v>-60000</v>
      </c>
    </row>
    <row r="51" spans="1:8" ht="15.75">
      <c r="A51" s="16" t="s">
        <v>50</v>
      </c>
      <c r="B51" s="54">
        <f>-720</f>
        <v>-720</v>
      </c>
      <c r="C51" s="18">
        <v>0</v>
      </c>
      <c r="D51" s="50"/>
      <c r="E51" s="19"/>
      <c r="F51" s="19"/>
      <c r="G51" s="18">
        <v>-800</v>
      </c>
    </row>
    <row r="52" spans="1:8" ht="15.75">
      <c r="A52" s="16" t="s">
        <v>51</v>
      </c>
      <c r="B52" s="54">
        <f>-438</f>
        <v>-438</v>
      </c>
      <c r="C52" s="18">
        <v>-500</v>
      </c>
      <c r="D52" s="50"/>
      <c r="E52" s="19"/>
      <c r="F52" s="19"/>
      <c r="G52" s="18">
        <v>-500</v>
      </c>
    </row>
    <row r="53" spans="1:8" ht="15.75">
      <c r="A53" s="16" t="s">
        <v>52</v>
      </c>
      <c r="B53" s="54"/>
      <c r="C53" s="18">
        <v>-2000</v>
      </c>
      <c r="D53" s="50"/>
      <c r="E53" s="19"/>
      <c r="F53" s="19"/>
      <c r="G53" s="18">
        <v>-2000</v>
      </c>
    </row>
    <row r="54" spans="1:8" ht="15.75">
      <c r="A54" s="16" t="s">
        <v>53</v>
      </c>
      <c r="B54" s="53">
        <f>-639.73+-455-430</f>
        <v>-1524.73</v>
      </c>
      <c r="C54" s="47">
        <v>-2400</v>
      </c>
      <c r="D54" s="50"/>
      <c r="E54" s="19"/>
      <c r="F54" s="46"/>
      <c r="G54" s="47">
        <v>-2000</v>
      </c>
    </row>
    <row r="55" spans="1:8" ht="15.75">
      <c r="A55" s="16" t="s">
        <v>54</v>
      </c>
      <c r="B55" s="54">
        <f>-1200</f>
        <v>-1200</v>
      </c>
      <c r="C55" s="18">
        <v>-10000</v>
      </c>
      <c r="D55" s="50"/>
      <c r="E55" s="19"/>
      <c r="F55" s="19"/>
      <c r="G55" s="18">
        <v>-10000</v>
      </c>
    </row>
    <row r="56" spans="1:8" ht="15.75">
      <c r="A56" s="16" t="s">
        <v>55</v>
      </c>
      <c r="B56" s="54">
        <f>-72+-379.66+-409</f>
        <v>-860.66000000000008</v>
      </c>
      <c r="C56" s="18">
        <v>-400</v>
      </c>
      <c r="D56" s="50"/>
      <c r="E56" s="19">
        <v>-144</v>
      </c>
      <c r="F56" s="19">
        <f>-144</f>
        <v>-144</v>
      </c>
      <c r="G56" s="18">
        <v>-1000</v>
      </c>
    </row>
    <row r="57" spans="1:8" ht="15.75">
      <c r="A57" s="16" t="s">
        <v>31</v>
      </c>
      <c r="B57" s="54">
        <f>-2025.9</f>
        <v>-2025.9</v>
      </c>
      <c r="C57" s="18">
        <v>-2000</v>
      </c>
      <c r="D57" s="50"/>
      <c r="E57" s="19"/>
      <c r="F57" s="19"/>
      <c r="G57" s="18">
        <v>-2000</v>
      </c>
    </row>
    <row r="58" spans="1:8" ht="15.75">
      <c r="A58" s="16" t="s">
        <v>11</v>
      </c>
      <c r="B58" s="53">
        <f>-698-457-680-158</f>
        <v>-1993</v>
      </c>
      <c r="C58" s="47">
        <v>-2500</v>
      </c>
      <c r="D58" s="50"/>
      <c r="E58" s="19"/>
      <c r="F58" s="46"/>
      <c r="G58" s="47">
        <v>-2000</v>
      </c>
    </row>
    <row r="59" spans="1:8">
      <c r="A59" s="26" t="s">
        <v>56</v>
      </c>
      <c r="B59" s="54">
        <f>-172+-3262+-600-1627-4837-4878-3856</f>
        <v>-19232</v>
      </c>
      <c r="C59" s="18">
        <f>-9655-14198</f>
        <v>-23853</v>
      </c>
      <c r="D59" s="50"/>
      <c r="E59" s="19"/>
      <c r="F59" s="19"/>
      <c r="G59" s="18">
        <v>-17500</v>
      </c>
    </row>
    <row r="60" spans="1:8">
      <c r="A60" s="26" t="s">
        <v>57</v>
      </c>
      <c r="B60" s="56">
        <f>-8627.84-1150</f>
        <v>-9777.84</v>
      </c>
      <c r="C60" s="49">
        <v>-14253</v>
      </c>
      <c r="D60" s="51"/>
      <c r="E60" s="19"/>
      <c r="F60" s="48"/>
      <c r="G60" s="49">
        <v>-19800</v>
      </c>
    </row>
    <row r="61" spans="1:8" ht="15.75">
      <c r="A61" s="21" t="s">
        <v>58</v>
      </c>
      <c r="B61" s="57">
        <f>SUM(B29:B60)</f>
        <v>-254825.37000000002</v>
      </c>
      <c r="C61" s="28">
        <f>SUM(C29:C60)</f>
        <v>-324376</v>
      </c>
      <c r="D61" s="27">
        <f>SUM(D29:D60)</f>
        <v>0</v>
      </c>
      <c r="E61" s="27">
        <f>SUM(E29:E60)</f>
        <v>-175.34</v>
      </c>
      <c r="F61" s="27">
        <f>SUM(F29:F60)</f>
        <v>-175</v>
      </c>
      <c r="G61" s="28">
        <f>SUM(G29:G60)</f>
        <v>-303720</v>
      </c>
      <c r="H61" s="11"/>
    </row>
    <row r="62" spans="1:8">
      <c r="A62" s="29"/>
      <c r="B62" s="54"/>
      <c r="C62" s="24"/>
      <c r="D62" s="19"/>
      <c r="E62" s="19"/>
      <c r="F62" s="19"/>
      <c r="G62" s="24"/>
    </row>
    <row r="63" spans="1:8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0</v>
      </c>
      <c r="E63" s="23">
        <f>E28+E61</f>
        <v>395.4</v>
      </c>
      <c r="F63" s="23">
        <f>F28+F61</f>
        <v>396</v>
      </c>
      <c r="G63" s="22">
        <f>G28+G61</f>
        <v>-41420</v>
      </c>
      <c r="H63" s="11"/>
    </row>
    <row r="64" spans="1:8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374538.16999999993</v>
      </c>
      <c r="G66" s="36">
        <f>G65+G63</f>
        <v>332722.16999999993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f>C76-19150</f>
        <v>-19150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/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  <c r="H79" t="s">
        <v>76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171498.28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202643.88999999993</v>
      </c>
      <c r="G82" s="44">
        <f>G66-G81</f>
        <v>179397.80999999994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332722.16999999993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52EC5-5F9B-48E8-BD63-024AEA36D8D2}">
  <dimension ref="A1:I83"/>
  <sheetViews>
    <sheetView workbookViewId="0">
      <selection activeCell="F26" sqref="F26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</v>
      </c>
      <c r="E5" s="9" t="s">
        <v>81</v>
      </c>
      <c r="F5" s="9" t="s">
        <v>82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3.74</v>
      </c>
      <c r="E18" s="19">
        <v>3.74</v>
      </c>
      <c r="F18" s="19">
        <f>4+4</f>
        <v>8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/>
      <c r="E19" s="19">
        <v>40</v>
      </c>
      <c r="F19" s="46">
        <f>40</f>
        <v>40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102</v>
      </c>
      <c r="E20" s="19">
        <v>535.5</v>
      </c>
      <c r="F20" s="46">
        <f>102+536</f>
        <v>638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465</v>
      </c>
      <c r="E26" s="19">
        <v>10765</v>
      </c>
      <c r="F26" s="19">
        <f>465+10765</f>
        <v>11230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570.74</v>
      </c>
      <c r="E28" s="23">
        <f>SUM(E6:E27)</f>
        <v>11344.24</v>
      </c>
      <c r="F28" s="23">
        <f>SUM(F6:F27)</f>
        <v>11916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/>
      <c r="E31" s="19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-15.35</v>
      </c>
      <c r="E32" s="19">
        <v>-343.12</v>
      </c>
      <c r="F32" s="19">
        <f>-15-343</f>
        <v>-358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/>
      <c r="E35" s="19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/>
      <c r="E41" s="19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/>
      <c r="F42" s="19"/>
      <c r="G42" s="65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/>
      <c r="E43" s="19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19"/>
      <c r="E45" s="19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-15.99</v>
      </c>
      <c r="F49" s="19">
        <f>-16-16</f>
        <v>-32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/>
      <c r="E50" s="19"/>
      <c r="F50" s="19"/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/>
      <c r="F53" s="19"/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/>
      <c r="F54" s="46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19"/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>
        <v>-144</v>
      </c>
      <c r="E56" s="19">
        <v>-312</v>
      </c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>
        <v>-2261</v>
      </c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/>
      <c r="F59" s="19"/>
      <c r="G59" s="18">
        <v>-17500</v>
      </c>
    </row>
    <row r="60" spans="1:9">
      <c r="A60" s="26" t="s">
        <v>57</v>
      </c>
      <c r="B60" s="56">
        <f>-8627.84-1150</f>
        <v>-9777.84</v>
      </c>
      <c r="C60" s="49">
        <v>-14253</v>
      </c>
      <c r="D60" s="19"/>
      <c r="E60" s="19"/>
      <c r="F60" s="48"/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-175.34</v>
      </c>
      <c r="E61" s="61">
        <f>SUM(E29:E60)</f>
        <v>-2932.11</v>
      </c>
      <c r="F61" s="27">
        <f>SUM(F29:F60)</f>
        <v>-3107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395.4</v>
      </c>
      <c r="E63" s="23">
        <f>E28+E61</f>
        <v>8412.1299999999992</v>
      </c>
      <c r="F63" s="23">
        <f>F28+F61</f>
        <v>8809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382951.16999999993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06CE-5EA7-480A-AA3E-1174B1D7658B}">
  <dimension ref="A1:I83"/>
  <sheetViews>
    <sheetView workbookViewId="0">
      <selection activeCell="F14" sqref="F14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81</v>
      </c>
      <c r="E5" s="9" t="s">
        <v>83</v>
      </c>
      <c r="F5" s="9" t="s">
        <v>84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>
        <v>1780</v>
      </c>
      <c r="F13" s="19">
        <f>1780</f>
        <v>1780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/>
      <c r="E14" s="19">
        <v>100</v>
      </c>
      <c r="F14" s="46">
        <f>100</f>
        <v>100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3.74</v>
      </c>
      <c r="E18" s="19">
        <v>3.62</v>
      </c>
      <c r="F18" s="19">
        <f>4+4+4</f>
        <v>12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>
        <v>40</v>
      </c>
      <c r="E19" s="19">
        <v>40</v>
      </c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535.5</v>
      </c>
      <c r="E20" s="19">
        <v>306</v>
      </c>
      <c r="F20" s="46">
        <f>102+536+306</f>
        <v>944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10765</v>
      </c>
      <c r="E26" s="19">
        <v>4810</v>
      </c>
      <c r="F26" s="19">
        <f>465+10765+4810</f>
        <v>16040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11344.24</v>
      </c>
      <c r="E28" s="23">
        <f>SUM(E6:E27)</f>
        <v>7039.62</v>
      </c>
      <c r="F28" s="23">
        <f>SUM(F6:F27)</f>
        <v>18956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/>
      <c r="E31" s="19">
        <v>-956</v>
      </c>
      <c r="F31" s="19">
        <v>-956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-343.12</v>
      </c>
      <c r="E32" s="19">
        <v>-212.93</v>
      </c>
      <c r="F32" s="19">
        <f>-15-343-213</f>
        <v>-571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/>
      <c r="E35" s="19">
        <v>-350</v>
      </c>
      <c r="F35" s="46">
        <f>-350</f>
        <v>-350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/>
      <c r="E41" s="19">
        <v>-1226.98</v>
      </c>
      <c r="F41" s="19">
        <f>-1227</f>
        <v>-1227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>
        <v>-1111.5</v>
      </c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/>
      <c r="E43" s="19">
        <v>-17634.18</v>
      </c>
      <c r="F43" s="19">
        <f>-17634</f>
        <v>-17634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19"/>
      <c r="E45" s="19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-15.99</v>
      </c>
      <c r="F49" s="19">
        <f>-16-16-16</f>
        <v>-48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/>
      <c r="E50" s="19">
        <v>-14684.07</v>
      </c>
      <c r="F50" s="19">
        <f>-14684</f>
        <v>-14684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/>
      <c r="F53" s="19"/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/>
      <c r="F54" s="46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19"/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>
        <v>-312</v>
      </c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>
        <v>-2261</v>
      </c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/>
      <c r="F59" s="19"/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/>
      <c r="E60" s="19">
        <v>-5325.46</v>
      </c>
      <c r="F60" s="48">
        <f>-5325</f>
        <v>-5325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-2932.11</v>
      </c>
      <c r="E61" s="61">
        <f>SUM(E29:E60)</f>
        <v>-41517.11</v>
      </c>
      <c r="F61" s="27">
        <f>SUM(F29:F60)</f>
        <v>-44624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8412.1299999999992</v>
      </c>
      <c r="E63" s="23">
        <f>E28+E61</f>
        <v>-34477.49</v>
      </c>
      <c r="F63" s="23">
        <f>F28+F61</f>
        <v>-25668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348474.16999999993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84FA7-105D-426C-A531-28C3D5AC5FC7}">
  <dimension ref="A1:I83"/>
  <sheetViews>
    <sheetView workbookViewId="0">
      <selection activeCell="F61" sqref="F61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83</v>
      </c>
      <c r="E5" s="9" t="s">
        <v>86</v>
      </c>
      <c r="F5" s="9" t="s">
        <v>87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>
        <v>7475</v>
      </c>
      <c r="F10" s="19">
        <f>7475</f>
        <v>7475</v>
      </c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/>
      <c r="E12" s="19">
        <v>322.01</v>
      </c>
      <c r="F12" s="19">
        <f>322</f>
        <v>322</v>
      </c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>
        <v>1780</v>
      </c>
      <c r="E13" s="19"/>
      <c r="F13" s="19">
        <f>1780</f>
        <v>1780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>
        <v>100</v>
      </c>
      <c r="E14" s="19">
        <v>200</v>
      </c>
      <c r="F14" s="46">
        <f>100+200</f>
        <v>300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3.62</v>
      </c>
      <c r="E18" s="19">
        <v>3.74</v>
      </c>
      <c r="F18" s="19">
        <f>4+4+4+4</f>
        <v>16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>
        <v>40</v>
      </c>
      <c r="E19" s="19"/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306</v>
      </c>
      <c r="E20" s="19">
        <v>12.75</v>
      </c>
      <c r="F20" s="46">
        <f>102+536+306+13</f>
        <v>957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4810</v>
      </c>
      <c r="E26" s="19">
        <v>2313.04</v>
      </c>
      <c r="F26" s="19">
        <f>465+10765+4810+2313</f>
        <v>18353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7039.62</v>
      </c>
      <c r="E28" s="23">
        <f>SUM(E6:E27)</f>
        <v>10326.540000000001</v>
      </c>
      <c r="F28" s="23">
        <f>SUM(F6:F27)</f>
        <v>29283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>
        <v>-956</v>
      </c>
      <c r="E31" s="19">
        <v>-413.74</v>
      </c>
      <c r="F31" s="19">
        <f>-956-414</f>
        <v>-1370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-212.93</v>
      </c>
      <c r="E32" s="19">
        <v>-288.83999999999997</v>
      </c>
      <c r="F32" s="19">
        <f>-15-343-213-289</f>
        <v>-860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>
        <v>-350</v>
      </c>
      <c r="E35" s="19">
        <v>-266.37</v>
      </c>
      <c r="F35" s="46">
        <f>-350-266</f>
        <v>-616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>
        <v>-8827.75</v>
      </c>
      <c r="F39" s="19">
        <f>-8828</f>
        <v>-8828</v>
      </c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>
        <v>-349.28</v>
      </c>
      <c r="F40" s="19">
        <f>-349</f>
        <v>-349</v>
      </c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>
        <v>-1226.98</v>
      </c>
      <c r="E41" s="19">
        <v>-3000</v>
      </c>
      <c r="F41" s="19">
        <f>-1227-3000</f>
        <v>-4227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>
        <v>-1111.5</v>
      </c>
      <c r="E42" s="19"/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>
        <v>-17634.18</v>
      </c>
      <c r="E43" s="19">
        <v>-10902.63</v>
      </c>
      <c r="F43" s="19">
        <f>-17634-10903</f>
        <v>-28537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>
        <v>-282</v>
      </c>
      <c r="F44" s="19">
        <f>-282</f>
        <v>-282</v>
      </c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19"/>
      <c r="E45" s="19">
        <v>-197.05</v>
      </c>
      <c r="F45" s="19">
        <f>-197</f>
        <v>-197</v>
      </c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-435.99</v>
      </c>
      <c r="F49" s="19">
        <f>-16-16-16-436</f>
        <v>-484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>
        <v>-14684.07</v>
      </c>
      <c r="E50" s="19">
        <v>-8859.5499999999993</v>
      </c>
      <c r="F50" s="19">
        <f>-14684-8860</f>
        <v>-23544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>
        <v>-660</v>
      </c>
      <c r="F53" s="19">
        <f>-660</f>
        <v>-660</v>
      </c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>
        <v>-2700</v>
      </c>
      <c r="F54" s="46">
        <f>-2700</f>
        <v>-2700</v>
      </c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19"/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/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>
        <v>-1141.18</v>
      </c>
      <c r="F59" s="19">
        <f>-1141</f>
        <v>-1141</v>
      </c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>
        <v>-5325.46</v>
      </c>
      <c r="E60" s="19">
        <v>-1520</v>
      </c>
      <c r="F60" s="48">
        <f>-5325-1520</f>
        <v>-6845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-41517.11</v>
      </c>
      <c r="E61" s="61">
        <f>SUM(E29:E60)</f>
        <v>-39844.379999999997</v>
      </c>
      <c r="F61" s="27">
        <f>SUM(F29:F60)</f>
        <v>-84469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-34477.49</v>
      </c>
      <c r="E63" s="23">
        <f>E28+E61</f>
        <v>-29517.839999999997</v>
      </c>
      <c r="F63" s="23">
        <f>F28+F61</f>
        <v>-55186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318956.16999999993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Petrov</dc:creator>
  <cp:keywords/>
  <dc:description/>
  <cp:lastModifiedBy>Valle Verde</cp:lastModifiedBy>
  <cp:revision/>
  <dcterms:created xsi:type="dcterms:W3CDTF">2022-08-13T19:01:59Z</dcterms:created>
  <dcterms:modified xsi:type="dcterms:W3CDTF">2023-11-13T05:07:20Z</dcterms:modified>
  <cp:category/>
  <cp:contentStatus/>
</cp:coreProperties>
</file>